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0" yWindow="168" windowWidth="23016" windowHeight="10188" activeTab="0"/>
  </bookViews>
  <sheets>
    <sheet name="Feuil1" sheetId="1" r:id="rId1"/>
    <sheet name="Feuil2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<sst xmlns="http://schemas.openxmlformats.org/spreadsheetml/2006/main" count="84" uniqueCount="69">
  <si>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zone</t>
  </si>
  <si>
    <t>coefficient M</t>
  </si>
  <si>
    <t>mm</t>
  </si>
  <si>
    <t>hx</t>
  </si>
  <si>
    <t>hm</t>
  </si>
  <si>
    <t>nombre de traversées de la lame</t>
  </si>
  <si>
    <t>constante</t>
  </si>
  <si>
    <t>focale du telescope</t>
  </si>
  <si>
    <t xml:space="preserve">epaisseur lame </t>
  </si>
  <si>
    <t>indice de la lame</t>
  </si>
  <si>
    <t>Rayon de courbure du miroir  test R</t>
  </si>
  <si>
    <t>mesure-Cte</t>
  </si>
  <si>
    <t>M1 realisé</t>
  </si>
  <si>
    <t>M1 hm2/F (Ftest/F)^2</t>
  </si>
  <si>
    <t>mesure Miroir spherique</t>
  </si>
  <si>
    <t xml:space="preserve"> hm/F</t>
  </si>
  <si>
    <t>ro</t>
  </si>
  <si>
    <t xml:space="preserve">diametre lame </t>
  </si>
  <si>
    <t>µm</t>
  </si>
  <si>
    <t>λF/ro</t>
  </si>
  <si>
    <t>λF*1000</t>
  </si>
  <si>
    <t>cte</t>
  </si>
  <si>
    <t>u*1e6</t>
  </si>
  <si>
    <t>λF*1000=ΛF*hm/F*1000</t>
  </si>
  <si>
    <t>u*1e6=λF/F *1000</t>
  </si>
  <si>
    <r>
      <t xml:space="preserve">ecart </t>
    </r>
    <r>
      <rPr>
        <sz val="12"/>
        <rFont val="Times New Roman"/>
        <family val="1"/>
      </rPr>
      <t>ΛR</t>
    </r>
  </si>
  <si>
    <t>premier point</t>
  </si>
  <si>
    <t>deuxieme point</t>
  </si>
  <si>
    <t>x1*x1</t>
  </si>
  <si>
    <t>mesures 1</t>
  </si>
  <si>
    <t xml:space="preserve">mesures 2 </t>
  </si>
  <si>
    <t>mesures-spherique</t>
  </si>
  <si>
    <t>x2*x2</t>
  </si>
  <si>
    <t>y1</t>
  </si>
  <si>
    <t>y2</t>
  </si>
  <si>
    <t>a</t>
  </si>
  <si>
    <t>b</t>
  </si>
  <si>
    <t>parabole</t>
  </si>
  <si>
    <t>eps</t>
  </si>
  <si>
    <t>max</t>
  </si>
  <si>
    <t>Feuille de contrôle lame baker schmidt J. Dijon</t>
  </si>
  <si>
    <t>ecart M</t>
  </si>
  <si>
    <t>(Ftest/F)^2</t>
  </si>
  <si>
    <r>
      <t>M hm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/F (Ftest/F)^2</t>
    </r>
  </si>
  <si>
    <t>meilleure parabole</t>
  </si>
  <si>
    <t>ecart eps</t>
  </si>
  <si>
    <t>ecart max mµ</t>
  </si>
  <si>
    <t>precision λ /</t>
  </si>
  <si>
    <t>premier point contact</t>
  </si>
  <si>
    <t xml:space="preserve">deuxieme point contact </t>
  </si>
  <si>
    <r>
      <t>Λ</t>
    </r>
    <r>
      <rPr>
        <sz val="12"/>
        <rFont val="Arial"/>
        <family val="0"/>
      </rPr>
      <t>F=</t>
    </r>
    <r>
      <rPr>
        <sz val="12"/>
        <rFont val="Times New Roman"/>
        <family val="1"/>
      </rPr>
      <t>ΛR/8*(F/Ftest)^2</t>
    </r>
  </si>
  <si>
    <t>distance lame miroir</t>
  </si>
  <si>
    <t>distance miroirs</t>
  </si>
  <si>
    <t>distance CCD primaire</t>
  </si>
  <si>
    <t>epaisseur miroir primaire</t>
  </si>
  <si>
    <t>longeur tube</t>
  </si>
  <si>
    <t>distance miroir sec CCD</t>
  </si>
  <si>
    <t>r</t>
  </si>
  <si>
    <t>h</t>
  </si>
  <si>
    <t>n</t>
  </si>
  <si>
    <t>F</t>
  </si>
  <si>
    <t>R1</t>
  </si>
  <si>
    <t>R2</t>
  </si>
  <si>
    <t>eps1</t>
  </si>
  <si>
    <t>eps2</t>
  </si>
  <si>
    <t>cm3</t>
  </si>
  <si>
    <t>V1</t>
  </si>
  <si>
    <t>V2</t>
  </si>
  <si>
    <t>eps tot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</si>
</sst>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9.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0.75"/>
      <name val="Arial"/>
      <family val="0"/>
    </font>
    <font>
      <sz val="12"/>
      <color indexed="10"/>
      <name val="Arial"/>
      <family val="0"/>
    </font>
    <font>
      <b/>
      <sz val="13"/>
      <name val="Arial"/>
      <family val="2"/>
    </font>
    <font>
      <b/>
      <sz val="16.75"/>
      <name val="Arial"/>
      <family val="2"/>
    </font>
    <font>
      <b/>
      <sz val="15"/>
      <name val="Arial"/>
      <family val="2"/>
    </font>
    <font>
      <b/>
      <sz val="14.7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Arial"/>
      <family val="2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" fontId="0" fillId="0" borderId="0" xfId="0" applyNumberFormat="1" applyAlignment="1">
      <alignment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6" fillId="0" borderId="21" xfId="0" applyFont="1" applyBorder="1" applyAlignment="1">
      <alignment horizontal="right" wrapText="1"/>
    </xf>
    <xf numFmtId="0" fontId="26" fillId="0" borderId="22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surface d'onde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675"/>
          <c:w val="0.91475"/>
          <c:h val="0.83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Feuil1!$C$36:$L$36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Feuil1!$C$37:$L$37</c:f>
              <c:numCache>
                <c:ptCount val="10"/>
                <c:pt idx="0">
                  <c:v>0</c:v>
                </c:pt>
                <c:pt idx="1">
                  <c:v>9.74662673810515</c:v>
                </c:pt>
                <c:pt idx="2">
                  <c:v>-0.06339739868035643</c:v>
                </c:pt>
                <c:pt idx="3">
                  <c:v>-20.103282069317913</c:v>
                </c:pt>
                <c:pt idx="4">
                  <c:v>-19.372897588283987</c:v>
                </c:pt>
                <c:pt idx="5">
                  <c:v>-15.18630091082854</c:v>
                </c:pt>
                <c:pt idx="6">
                  <c:v>4.803802556587675</c:v>
                </c:pt>
                <c:pt idx="7">
                  <c:v>2.6263715219848094</c:v>
                </c:pt>
                <c:pt idx="8">
                  <c:v>-9.868100131203798</c:v>
                </c:pt>
                <c:pt idx="9">
                  <c:v>-31.53103312934841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Feuil1!$C$36:$L$36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Feuil1!$D$48:$M$48</c:f>
              <c:numCache>
                <c:ptCount val="10"/>
                <c:pt idx="0">
                  <c:v>10.3332642152445</c:v>
                </c:pt>
                <c:pt idx="1">
                  <c:v>9.74662673810515</c:v>
                </c:pt>
                <c:pt idx="2">
                  <c:v>8.984107148880499</c:v>
                </c:pt>
                <c:pt idx="3">
                  <c:v>8.04975490634803</c:v>
                </c:pt>
                <c:pt idx="4">
                  <c:v>7.094143005233775</c:v>
                </c:pt>
                <c:pt idx="5">
                  <c:v>5.9600112711791615</c:v>
                </c:pt>
                <c:pt idx="6">
                  <c:v>4.803802556587676</c:v>
                </c:pt>
                <c:pt idx="7">
                  <c:v>3.5829278861745752</c:v>
                </c:pt>
                <c:pt idx="8">
                  <c:v>2.3755204525214513</c:v>
                </c:pt>
                <c:pt idx="9">
                  <c:v>1.0752355239719336</c:v>
                </c:pt>
              </c:numCache>
            </c:numRef>
          </c:yVal>
          <c:smooth val="1"/>
        </c:ser>
        <c:axId val="28460720"/>
        <c:axId val="54819889"/>
      </c:scatterChart>
      <c:val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crossBetween val="midCat"/>
        <c:dispUnits/>
      </c:val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 micron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8460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1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d'onde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4"/>
          <c:w val="0.95025"/>
          <c:h val="0.83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Feuil1!$C$68:$L$68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Feuil1!$C$69:$L$69</c:f>
              <c:numCache>
                <c:ptCount val="10"/>
                <c:pt idx="0">
                  <c:v>0</c:v>
                </c:pt>
                <c:pt idx="1">
                  <c:v>9.025947899464853</c:v>
                </c:pt>
                <c:pt idx="2">
                  <c:v>-1.6638024279061927</c:v>
                </c:pt>
                <c:pt idx="3">
                  <c:v>-22.691712553850138</c:v>
                </c:pt>
                <c:pt idx="4">
                  <c:v>-22.87110596664404</c:v>
                </c:pt>
                <c:pt idx="5">
                  <c:v>-19.632634732746475</c:v>
                </c:pt>
                <c:pt idx="6">
                  <c:v>-0.46110887829810565</c:v>
                </c:pt>
                <c:pt idx="7">
                  <c:v>-3.34157479182242</c:v>
                </c:pt>
                <c:pt idx="8">
                  <c:v>-16.36664129100341</c:v>
                </c:pt>
                <c:pt idx="9">
                  <c:v>-38.420814317905304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Feuil1!$C$68:$L$68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Feuil1!$D$79:$M$79</c:f>
              <c:numCache>
                <c:ptCount val="10"/>
                <c:pt idx="0">
                  <c:v>10.151916141344742</c:v>
                </c:pt>
                <c:pt idx="1">
                  <c:v>9.025947899464853</c:v>
                </c:pt>
                <c:pt idx="2">
                  <c:v>7.562398646756081</c:v>
                </c:pt>
                <c:pt idx="3">
                  <c:v>5.769040750579747</c:v>
                </c:pt>
                <c:pt idx="4">
                  <c:v>3.934877925756462</c:v>
                </c:pt>
                <c:pt idx="5">
                  <c:v>1.7580713554010448</c:v>
                </c:pt>
                <c:pt idx="6">
                  <c:v>-0.46110887829810565</c:v>
                </c:pt>
                <c:pt idx="7">
                  <c:v>-2.8044063316147287</c:v>
                </c:pt>
                <c:pt idx="8">
                  <c:v>-5.121855315495758</c:v>
                </c:pt>
                <c:pt idx="9">
                  <c:v>-7.617569605829171</c:v>
                </c:pt>
              </c:numCache>
            </c:numRef>
          </c:yVal>
          <c:smooth val="1"/>
        </c:ser>
        <c:axId val="23616954"/>
        <c:axId val="11225995"/>
      </c:scatterChart>
      <c:val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crossBetween val="midCat"/>
        <c:dispUnits/>
      </c:valAx>
      <c:valAx>
        <c:axId val="11225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1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surface du verre</a:t>
            </a:r>
          </a:p>
        </c:rich>
      </c:tx>
      <c:layout>
        <c:manualLayout>
          <c:xMode val="factor"/>
          <c:yMode val="factor"/>
          <c:x val="0.038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11725"/>
          <c:w val="0.8295"/>
          <c:h val="0.86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Feuil1!$C$36:$L$36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Feuil1!$C$38:$L$38</c:f>
              <c:numCache>
                <c:ptCount val="10"/>
                <c:pt idx="0">
                  <c:v>0</c:v>
                </c:pt>
                <c:pt idx="1">
                  <c:v>-18.494547890142602</c:v>
                </c:pt>
                <c:pt idx="2">
                  <c:v>0.12029866922268774</c:v>
                </c:pt>
                <c:pt idx="3">
                  <c:v>38.14664529282337</c:v>
                </c:pt>
                <c:pt idx="4">
                  <c:v>36.76071648630738</c:v>
                </c:pt>
                <c:pt idx="5">
                  <c:v>28.81651026722684</c:v>
                </c:pt>
                <c:pt idx="6">
                  <c:v>-9.115374870185343</c:v>
                </c:pt>
                <c:pt idx="7">
                  <c:v>-4.983627176441765</c:v>
                </c:pt>
                <c:pt idx="8">
                  <c:v>18.72504768729374</c:v>
                </c:pt>
                <c:pt idx="9">
                  <c:v>59.83118240863077</c:v>
                </c:pt>
              </c:numCache>
            </c:numRef>
          </c:yVal>
          <c:smooth val="1"/>
        </c:ser>
        <c:axId val="33925092"/>
        <c:axId val="36890373"/>
      </c:scatterChart>
      <c:val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crossBetween val="midCat"/>
        <c:dispUnits/>
      </c:valAx>
      <c:valAx>
        <c:axId val="3689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5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5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surface verre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525"/>
          <c:w val="0.9175"/>
          <c:h val="0.87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Feuil1!$C$68:$L$68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Feuil1!$C$70:$L$70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3577902"/>
        <c:axId val="35330207"/>
      </c:scatterChart>
      <c:valAx>
        <c:axId val="6357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crossBetween val="midCat"/>
        <c:dispUnits/>
      </c:valAx>
      <c:valAx>
        <c:axId val="3533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 micron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lambdaF/Ro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4875"/>
          <c:w val="0.9747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Feuil1!$D$18:$L$18</c:f>
              <c:numCache>
                <c:ptCount val="9"/>
                <c:pt idx="0">
                  <c:v>40.75</c:v>
                </c:pt>
                <c:pt idx="1">
                  <c:v>55.9</c:v>
                </c:pt>
                <c:pt idx="2">
                  <c:v>70.25</c:v>
                </c:pt>
                <c:pt idx="3">
                  <c:v>83.6</c:v>
                </c:pt>
                <c:pt idx="4">
                  <c:v>96</c:v>
                </c:pt>
                <c:pt idx="5">
                  <c:v>108.2</c:v>
                </c:pt>
                <c:pt idx="6">
                  <c:v>119.4</c:v>
                </c:pt>
                <c:pt idx="7">
                  <c:v>130</c:v>
                </c:pt>
                <c:pt idx="8">
                  <c:v>139.9</c:v>
                </c:pt>
              </c:numCache>
            </c:numRef>
          </c:xVal>
          <c:yVal>
            <c:numRef>
              <c:f>Feuil1!$D$33:$L$33</c:f>
              <c:numCache>
                <c:ptCount val="9"/>
                <c:pt idx="0">
                  <c:v>0.6368019798622712</c:v>
                </c:pt>
                <c:pt idx="1">
                  <c:v>0.283271499433219</c:v>
                </c:pt>
                <c:pt idx="2">
                  <c:v>0.5948525403372131</c:v>
                </c:pt>
                <c:pt idx="3">
                  <c:v>-0.025205572473372368</c:v>
                </c:pt>
                <c:pt idx="4">
                  <c:v>-0.13992893982717722</c:v>
                </c:pt>
                <c:pt idx="5">
                  <c:v>-0.7378487431970653</c:v>
                </c:pt>
                <c:pt idx="6">
                  <c:v>0.08402371194842864</c:v>
                </c:pt>
                <c:pt idx="7">
                  <c:v>0.5303566714614601</c:v>
                </c:pt>
                <c:pt idx="8">
                  <c:v>0.9195331629774498</c:v>
                </c:pt>
              </c:numCache>
            </c:numRef>
          </c:yVal>
          <c:smooth val="1"/>
        </c:ser>
        <c:axId val="49536408"/>
        <c:axId val="43174489"/>
      </c:scatterChart>
      <c:val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48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crossBetween val="midCat"/>
        <c:dispUnits/>
      </c:valAx>
      <c:valAx>
        <c:axId val="4317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75"/>
          <c:w val="0.921"/>
          <c:h val="0.96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Feuil2!$B$6:$K$6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Feuil2!$B$7:$K$7</c:f>
              <c:numCache>
                <c:ptCount val="10"/>
                <c:pt idx="0">
                  <c:v>0</c:v>
                </c:pt>
                <c:pt idx="1">
                  <c:v>8.276421232553288</c:v>
                </c:pt>
                <c:pt idx="2">
                  <c:v>48.984825628774416</c:v>
                </c:pt>
                <c:pt idx="3">
                  <c:v>76.85403665521854</c:v>
                </c:pt>
                <c:pt idx="4">
                  <c:v>119.38638744605538</c:v>
                </c:pt>
                <c:pt idx="5">
                  <c:v>125.14022878597729</c:v>
                </c:pt>
                <c:pt idx="6">
                  <c:v>123.6161949535186</c:v>
                </c:pt>
                <c:pt idx="7">
                  <c:v>84.76573861287673</c:v>
                </c:pt>
                <c:pt idx="8">
                  <c:v>23.754968599648436</c:v>
                </c:pt>
                <c:pt idx="9">
                  <c:v>-12.022374725929794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Feuil2!$B$9:$K$9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Feuil2!$B$10:$K$10</c:f>
              <c:numCache>
                <c:ptCount val="10"/>
                <c:pt idx="0">
                  <c:v>0</c:v>
                </c:pt>
                <c:pt idx="1">
                  <c:v>13.674237432784253</c:v>
                </c:pt>
                <c:pt idx="2">
                  <c:v>10.24160193225985</c:v>
                </c:pt>
                <c:pt idx="3">
                  <c:v>31.978658132042415</c:v>
                </c:pt>
                <c:pt idx="4">
                  <c:v>33.08376228618613</c:v>
                </c:pt>
                <c:pt idx="5">
                  <c:v>76.0489774143588</c:v>
                </c:pt>
                <c:pt idx="6">
                  <c:v>79.0822381099249</c:v>
                </c:pt>
                <c:pt idx="7">
                  <c:v>73.90441251085896</c:v>
                </c:pt>
                <c:pt idx="8">
                  <c:v>52.571124391268484</c:v>
                </c:pt>
                <c:pt idx="9">
                  <c:v>6.546003126761683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Feuil2!$B$12:$K$12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Feuil2!$B$13:$K$13</c:f>
              <c:numCache>
                <c:ptCount val="10"/>
                <c:pt idx="0">
                  <c:v>0</c:v>
                </c:pt>
                <c:pt idx="1">
                  <c:v>11.360887632685426</c:v>
                </c:pt>
                <c:pt idx="2">
                  <c:v>14.950690297552425</c:v>
                </c:pt>
                <c:pt idx="3">
                  <c:v>23.19700587867888</c:v>
                </c:pt>
                <c:pt idx="4">
                  <c:v>59.45250111850207</c:v>
                </c:pt>
                <c:pt idx="5">
                  <c:v>84.55625682831315</c:v>
                </c:pt>
                <c:pt idx="6">
                  <c:v>83.03222299585447</c:v>
                </c:pt>
                <c:pt idx="7">
                  <c:v>60.216352722631</c:v>
                </c:pt>
                <c:pt idx="8">
                  <c:v>23.01207184558472</c:v>
                </c:pt>
                <c:pt idx="9">
                  <c:v>-4.225456530886177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Feuil2!$B$3:$K$3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Feuil2!$B$4:$K$4</c:f>
              <c:numCache>
                <c:ptCount val="10"/>
                <c:pt idx="0">
                  <c:v>0</c:v>
                </c:pt>
                <c:pt idx="1">
                  <c:v>53.00118403446271</c:v>
                </c:pt>
                <c:pt idx="2">
                  <c:v>107.75446476146737</c:v>
                </c:pt>
                <c:pt idx="3">
                  <c:v>142.98226157990604</c:v>
                </c:pt>
                <c:pt idx="4">
                  <c:v>228.19723011763855</c:v>
                </c:pt>
                <c:pt idx="5">
                  <c:v>245.8587110698012</c:v>
                </c:pt>
                <c:pt idx="6">
                  <c:v>265.6020517014535</c:v>
                </c:pt>
                <c:pt idx="7">
                  <c:v>210.71700929339434</c:v>
                </c:pt>
                <c:pt idx="8">
                  <c:v>152.88043783165767</c:v>
                </c:pt>
                <c:pt idx="9">
                  <c:v>14.62531511678523</c:v>
                </c:pt>
              </c:numCache>
            </c:numRef>
          </c:yVal>
          <c:smooth val="1"/>
        </c:ser>
        <c:axId val="53026082"/>
        <c:axId val="7472691"/>
      </c:scatterChart>
      <c:val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crossBetween val="midCat"/>
        <c:dispUnits/>
      </c:valAx>
      <c:valAx>
        <c:axId val="747269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3026082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825"/>
          <c:y val="0.066"/>
          <c:w val="0.231"/>
          <c:h val="0.1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Feuil2!$B$26:$K$26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Feuil2!$B$27:$K$27</c:f>
              <c:numCache>
                <c:ptCount val="10"/>
                <c:pt idx="0">
                  <c:v>0</c:v>
                </c:pt>
                <c:pt idx="1">
                  <c:v>-303.1011526841362</c:v>
                </c:pt>
                <c:pt idx="2">
                  <c:v>-368.99837820057076</c:v>
                </c:pt>
                <c:pt idx="3">
                  <c:v>-561.6764134972232</c:v>
                </c:pt>
                <c:pt idx="4">
                  <c:v>-577.3419346438927</c:v>
                </c:pt>
                <c:pt idx="5">
                  <c:v>-512.649830641361</c:v>
                </c:pt>
                <c:pt idx="6">
                  <c:v>-293.91943592203194</c:v>
                </c:pt>
                <c:pt idx="7">
                  <c:v>-404.42442029583606</c:v>
                </c:pt>
                <c:pt idx="8">
                  <c:v>-489.7575727741935</c:v>
                </c:pt>
                <c:pt idx="9">
                  <c:v>-332.2654598679124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Feuil2!$B$29:$K$29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Feuil2!$B$30:$K$30</c:f>
              <c:numCache>
                <c:ptCount val="10"/>
                <c:pt idx="0">
                  <c:v>0</c:v>
                </c:pt>
                <c:pt idx="1">
                  <c:v>-216.7360934804495</c:v>
                </c:pt>
                <c:pt idx="2">
                  <c:v>-306.71024984965254</c:v>
                </c:pt>
                <c:pt idx="3">
                  <c:v>-376.74518861306706</c:v>
                </c:pt>
                <c:pt idx="4">
                  <c:v>-392.41070975973656</c:v>
                </c:pt>
                <c:pt idx="5">
                  <c:v>-339.6262453694466</c:v>
                </c:pt>
                <c:pt idx="6">
                  <c:v>-205.96534850656158</c:v>
                </c:pt>
                <c:pt idx="7">
                  <c:v>-252.33198861069667</c:v>
                </c:pt>
                <c:pt idx="8">
                  <c:v>-401.14911211887727</c:v>
                </c:pt>
                <c:pt idx="9">
                  <c:v>-325.6392227240296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Feuil2!$B$32:$K$32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Feuil2!$B$33:$K$33</c:f>
              <c:numCache>
                <c:ptCount val="10"/>
                <c:pt idx="0">
                  <c:v>0</c:v>
                </c:pt>
                <c:pt idx="1">
                  <c:v>-235.24289188124015</c:v>
                </c:pt>
                <c:pt idx="2">
                  <c:v>-273.05036473610625</c:v>
                </c:pt>
                <c:pt idx="3">
                  <c:v>-284.2166171635678</c:v>
                </c:pt>
                <c:pt idx="4">
                  <c:v>-289.83916942861333</c:v>
                </c:pt>
                <c:pt idx="5">
                  <c:v>-320.40818232399886</c:v>
                </c:pt>
                <c:pt idx="6">
                  <c:v>-174.59450005304913</c:v>
                </c:pt>
                <c:pt idx="7">
                  <c:v>-304.3409877077545</c:v>
                </c:pt>
                <c:pt idx="8">
                  <c:v>-281.7513894354129</c:v>
                </c:pt>
                <c:pt idx="9">
                  <c:v>-254.06446375556925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Feuil2!$B$35:$K$35</c:f>
              <c:numCache>
                <c:ptCount val="10"/>
                <c:pt idx="0">
                  <c:v>33</c:v>
                </c:pt>
                <c:pt idx="1">
                  <c:v>48.5</c:v>
                </c:pt>
                <c:pt idx="2">
                  <c:v>63.2</c:v>
                </c:pt>
                <c:pt idx="3">
                  <c:v>77.5</c:v>
                </c:pt>
                <c:pt idx="4">
                  <c:v>89.8</c:v>
                </c:pt>
                <c:pt idx="5">
                  <c:v>102.5</c:v>
                </c:pt>
                <c:pt idx="6">
                  <c:v>114</c:v>
                </c:pt>
                <c:pt idx="7">
                  <c:v>125</c:v>
                </c:pt>
                <c:pt idx="8">
                  <c:v>135</c:v>
                </c:pt>
                <c:pt idx="9">
                  <c:v>145</c:v>
                </c:pt>
              </c:numCache>
            </c:numRef>
          </c:xVal>
          <c:yVal>
            <c:numRef>
              <c:f>Feuil2!$B$36:$K$36</c:f>
              <c:numCache>
                <c:ptCount val="10"/>
                <c:pt idx="0">
                  <c:v>0</c:v>
                </c:pt>
                <c:pt idx="1">
                  <c:v>-175.37253641250624</c:v>
                </c:pt>
                <c:pt idx="2">
                  <c:v>-300.4870196678679</c:v>
                </c:pt>
                <c:pt idx="3">
                  <c:v>-316.38157576700826</c:v>
                </c:pt>
                <c:pt idx="4">
                  <c:v>-317.97937383960283</c:v>
                </c:pt>
                <c:pt idx="5">
                  <c:v>-357.19889330730933</c:v>
                </c:pt>
                <c:pt idx="6">
                  <c:v>-325.241981799497</c:v>
                </c:pt>
                <c:pt idx="7">
                  <c:v>-410.2763356188226</c:v>
                </c:pt>
                <c:pt idx="8">
                  <c:v>-465.9677796242522</c:v>
                </c:pt>
                <c:pt idx="9">
                  <c:v>-408.4674352759012</c:v>
                </c:pt>
              </c:numCache>
            </c:numRef>
          </c:yVal>
          <c:smooth val="1"/>
        </c:ser>
        <c:axId val="145356"/>
        <c:axId val="1308205"/>
      </c:scatterChart>
      <c:val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crossBetween val="midCat"/>
        <c:dispUnits/>
      </c:valAx>
      <c:valAx>
        <c:axId val="1308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0.12525</cdr:y>
    </cdr:from>
    <cdr:to>
      <cdr:x>0.463</cdr:x>
      <cdr:y>0.81575</cdr:y>
    </cdr:to>
    <cdr:sp>
      <cdr:nvSpPr>
        <cdr:cNvPr id="1" name="Line 1"/>
        <cdr:cNvSpPr>
          <a:spLocks/>
        </cdr:cNvSpPr>
      </cdr:nvSpPr>
      <cdr:spPr>
        <a:xfrm flipH="1">
          <a:off x="3000375" y="590550"/>
          <a:ext cx="9525" cy="3276600"/>
        </a:xfrm>
        <a:prstGeom prst="line">
          <a:avLst/>
        </a:prstGeom>
        <a:noFill/>
        <a:ln w="4127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723900</xdr:colOff>
      <xdr:row>14</xdr:row>
      <xdr:rowOff>19050</xdr:rowOff>
    </xdr:from>
    <xdr:to>
      <xdr:col>21</xdr:col>
      <xdr:colOff>304800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1858625" y="3009900"/>
        <a:ext cx="65246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56</xdr:row>
      <xdr:rowOff>28575</xdr:rowOff>
    </xdr:from>
    <xdr:to>
      <xdr:col>22</xdr:col>
      <xdr:colOff>0</xdr:colOff>
      <xdr:row>75</xdr:row>
      <xdr:rowOff>66675</xdr:rowOff>
    </xdr:to>
    <xdr:graphicFrame>
      <xdr:nvGraphicFramePr>
        <xdr:cNvPr id="2" name="Chart 2"/>
        <xdr:cNvGraphicFramePr/>
      </xdr:nvGraphicFramePr>
      <xdr:xfrm>
        <a:off x="12011025" y="9820275"/>
        <a:ext cx="6829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180975</xdr:colOff>
      <xdr:row>13</xdr:row>
      <xdr:rowOff>171450</xdr:rowOff>
    </xdr:from>
    <xdr:to>
      <xdr:col>32</xdr:col>
      <xdr:colOff>0</xdr:colOff>
      <xdr:row>39</xdr:row>
      <xdr:rowOff>85725</xdr:rowOff>
    </xdr:to>
    <xdr:graphicFrame>
      <xdr:nvGraphicFramePr>
        <xdr:cNvPr id="3" name="Chart 3"/>
        <xdr:cNvGraphicFramePr/>
      </xdr:nvGraphicFramePr>
      <xdr:xfrm>
        <a:off x="19783425" y="2971800"/>
        <a:ext cx="66770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447675</xdr:colOff>
      <xdr:row>55</xdr:row>
      <xdr:rowOff>152400</xdr:rowOff>
    </xdr:from>
    <xdr:to>
      <xdr:col>30</xdr:col>
      <xdr:colOff>571500</xdr:colOff>
      <xdr:row>75</xdr:row>
      <xdr:rowOff>85725</xdr:rowOff>
    </xdr:to>
    <xdr:graphicFrame>
      <xdr:nvGraphicFramePr>
        <xdr:cNvPr id="4" name="Chart 4"/>
        <xdr:cNvGraphicFramePr/>
      </xdr:nvGraphicFramePr>
      <xdr:xfrm>
        <a:off x="19288125" y="9782175"/>
        <a:ext cx="62198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723900</xdr:colOff>
      <xdr:row>1</xdr:row>
      <xdr:rowOff>19050</xdr:rowOff>
    </xdr:from>
    <xdr:to>
      <xdr:col>21</xdr:col>
      <xdr:colOff>295275</xdr:colOff>
      <xdr:row>13</xdr:row>
      <xdr:rowOff>180975</xdr:rowOff>
    </xdr:to>
    <xdr:graphicFrame>
      <xdr:nvGraphicFramePr>
        <xdr:cNvPr id="5" name="Chart 6"/>
        <xdr:cNvGraphicFramePr/>
      </xdr:nvGraphicFramePr>
      <xdr:xfrm>
        <a:off x="11858625" y="180975"/>
        <a:ext cx="65151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152400</xdr:rowOff>
    </xdr:from>
    <xdr:to>
      <xdr:col>20</xdr:col>
      <xdr:colOff>619125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9105900" y="152400"/>
        <a:ext cx="67532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428625</xdr:colOff>
      <xdr:row>2</xdr:row>
      <xdr:rowOff>28575</xdr:rowOff>
    </xdr:from>
    <xdr:to>
      <xdr:col>17</xdr:col>
      <xdr:colOff>457200</xdr:colOff>
      <xdr:row>25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13382625" y="352425"/>
          <a:ext cx="1905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28</xdr:row>
      <xdr:rowOff>85725</xdr:rowOff>
    </xdr:from>
    <xdr:to>
      <xdr:col>20</xdr:col>
      <xdr:colOff>9525</xdr:colOff>
      <xdr:row>51</xdr:row>
      <xdr:rowOff>57150</xdr:rowOff>
    </xdr:to>
    <xdr:graphicFrame>
      <xdr:nvGraphicFramePr>
        <xdr:cNvPr id="3" name="Chart 3"/>
        <xdr:cNvGraphicFramePr/>
      </xdr:nvGraphicFramePr>
      <xdr:xfrm>
        <a:off x="9115425" y="4619625"/>
        <a:ext cx="61341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2"/>
  <sheetViews>
    <sheetView tabSelected="1" workbookViewId="0" topLeftCell="A1">
      <selection activeCell="I3" sqref="I3"/>
    </sheetView>
  </sheetViews>
  <sheetFormatPr defaultColWidth="11.421875" defaultRowHeight="12.75"/>
  <cols>
    <col min="2" max="2" width="6.28125" style="0" customWidth="1"/>
    <col min="3" max="3" width="25.7109375" style="1" customWidth="1"/>
    <col min="4" max="5" width="15.140625" style="2" bestFit="1" customWidth="1"/>
    <col min="6" max="6" width="12.7109375" style="2" bestFit="1" customWidth="1"/>
    <col min="7" max="10" width="13.421875" style="2" bestFit="1" customWidth="1"/>
    <col min="11" max="12" width="13.421875" style="0" bestFit="1" customWidth="1"/>
    <col min="13" max="13" width="12.7109375" style="0" bestFit="1" customWidth="1"/>
  </cols>
  <sheetData>
    <row r="2" spans="3:6" ht="17.25">
      <c r="C2" s="68" t="s">
        <v>40</v>
      </c>
      <c r="D2" s="68"/>
      <c r="E2" s="68"/>
      <c r="F2" s="69"/>
    </row>
    <row r="4" spans="3:5" ht="12.75">
      <c r="C4" s="1" t="s">
        <v>8</v>
      </c>
      <c r="D4" s="2">
        <v>8</v>
      </c>
      <c r="E4" s="2" t="s">
        <v>2</v>
      </c>
    </row>
    <row r="5" spans="3:4" ht="12.75">
      <c r="C5" s="49" t="s">
        <v>9</v>
      </c>
      <c r="D5" s="50">
        <v>1.527</v>
      </c>
    </row>
    <row r="6" spans="3:5" ht="12.75">
      <c r="C6" s="49" t="s">
        <v>17</v>
      </c>
      <c r="D6" s="50">
        <v>290</v>
      </c>
      <c r="E6" s="2" t="s">
        <v>2</v>
      </c>
    </row>
    <row r="7" spans="3:4" ht="12.75">
      <c r="C7" s="49" t="s">
        <v>1</v>
      </c>
      <c r="D7" s="50">
        <v>2.3135467166760955</v>
      </c>
    </row>
    <row r="8" spans="3:7" ht="26.25" customHeight="1">
      <c r="C8" s="49" t="s">
        <v>10</v>
      </c>
      <c r="D8" s="50">
        <v>1431</v>
      </c>
      <c r="E8" s="2" t="s">
        <v>2</v>
      </c>
      <c r="F8" s="59" t="s">
        <v>42</v>
      </c>
      <c r="G8" s="60">
        <f>(D8/2/D9)^2</f>
        <v>0.4589093960868603</v>
      </c>
    </row>
    <row r="9" spans="3:5" ht="18" customHeight="1">
      <c r="C9" s="49" t="s">
        <v>7</v>
      </c>
      <c r="D9" s="50">
        <v>1056.2</v>
      </c>
      <c r="E9" s="2" t="s">
        <v>2</v>
      </c>
    </row>
    <row r="10" spans="3:4" ht="26.25" customHeight="1">
      <c r="C10" s="49" t="s">
        <v>5</v>
      </c>
      <c r="D10" s="50">
        <v>2</v>
      </c>
    </row>
    <row r="11" spans="3:4" ht="26.25" customHeight="1">
      <c r="C11" s="55"/>
      <c r="D11" s="56"/>
    </row>
    <row r="12" spans="3:4" ht="15" customHeight="1">
      <c r="C12" s="57" t="s">
        <v>6</v>
      </c>
      <c r="D12" s="58">
        <v>30.905</v>
      </c>
    </row>
    <row r="13" spans="3:12" ht="15" customHeight="1">
      <c r="C13" s="1" t="s">
        <v>16</v>
      </c>
      <c r="D13" s="2">
        <f>1.22*0.56*D9/D6</f>
        <v>2.4882615172413796</v>
      </c>
      <c r="E13" s="2" t="s">
        <v>18</v>
      </c>
      <c r="L13" s="48"/>
    </row>
    <row r="14" ht="15" customHeight="1"/>
    <row r="15" spans="4:11" ht="15" customHeight="1" thickBot="1">
      <c r="D15" s="48"/>
      <c r="E15" s="48"/>
      <c r="F15" s="48"/>
      <c r="G15" s="48"/>
      <c r="H15" s="48"/>
      <c r="I15" s="48"/>
      <c r="J15" s="48"/>
      <c r="K15" s="48"/>
    </row>
    <row r="16" spans="3:12" ht="15.75" thickBot="1">
      <c r="C16" s="11" t="s">
        <v>0</v>
      </c>
      <c r="D16" s="12">
        <v>1</v>
      </c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</row>
    <row r="17" spans="2:14" ht="15">
      <c r="B17">
        <v>1</v>
      </c>
      <c r="C17" s="22" t="s">
        <v>3</v>
      </c>
      <c r="D17" s="23">
        <v>33</v>
      </c>
      <c r="E17" s="23">
        <v>48.5</v>
      </c>
      <c r="F17" s="27">
        <v>63.2</v>
      </c>
      <c r="G17" s="23">
        <v>77.5</v>
      </c>
      <c r="H17" s="23">
        <v>89.8</v>
      </c>
      <c r="I17" s="23">
        <v>102.5</v>
      </c>
      <c r="J17" s="23">
        <v>114</v>
      </c>
      <c r="K17" s="23">
        <v>125</v>
      </c>
      <c r="L17" s="24">
        <v>135</v>
      </c>
      <c r="M17" s="21">
        <v>145</v>
      </c>
      <c r="N17">
        <f>0.707*M17</f>
        <v>102.515</v>
      </c>
    </row>
    <row r="18" spans="2:12" ht="15">
      <c r="B18">
        <v>2</v>
      </c>
      <c r="C18" s="14" t="s">
        <v>4</v>
      </c>
      <c r="D18" s="9">
        <v>40.75</v>
      </c>
      <c r="E18" s="9">
        <v>55.9</v>
      </c>
      <c r="F18" s="9">
        <v>70.25</v>
      </c>
      <c r="G18" s="28">
        <v>83.6</v>
      </c>
      <c r="H18" s="9">
        <v>96</v>
      </c>
      <c r="I18" s="9">
        <v>108.2</v>
      </c>
      <c r="J18" s="9">
        <v>119.4</v>
      </c>
      <c r="K18" s="9">
        <v>130</v>
      </c>
      <c r="L18" s="15">
        <v>139.9</v>
      </c>
    </row>
    <row r="19" spans="2:12" s="4" customFormat="1" ht="18">
      <c r="B19" s="4">
        <v>3</v>
      </c>
      <c r="C19" s="16" t="s">
        <v>43</v>
      </c>
      <c r="D19" s="10">
        <f>$D$7*D18*D18/$D$9*$G$8</f>
        <v>1.6692227163771194</v>
      </c>
      <c r="E19" s="10">
        <f>$D$7*E18*E18/$D$9*$G$8</f>
        <v>3.141106604757356</v>
      </c>
      <c r="F19" s="10">
        <f>$D$7*F18*F18/$D$9*$G$8</f>
        <v>4.960799989004244</v>
      </c>
      <c r="G19" s="10">
        <f aca="true" t="shared" si="0" ref="G19:L19">$D$7*G18*G18/$D$9*$G$8</f>
        <v>7.025409038112707</v>
      </c>
      <c r="H19" s="29">
        <f t="shared" si="0"/>
        <v>9.264063565286783</v>
      </c>
      <c r="I19" s="10">
        <f t="shared" si="0"/>
        <v>11.768295956387592</v>
      </c>
      <c r="J19" s="10">
        <f t="shared" si="0"/>
        <v>14.330710205036013</v>
      </c>
      <c r="K19" s="10">
        <f t="shared" si="0"/>
        <v>16.988137397281534</v>
      </c>
      <c r="L19" s="17">
        <f t="shared" si="0"/>
        <v>19.67408254561942</v>
      </c>
    </row>
    <row r="20" spans="3:12" s="4" customFormat="1" ht="10.5" customHeight="1">
      <c r="C20" s="16"/>
      <c r="D20" s="10"/>
      <c r="E20" s="10"/>
      <c r="F20" s="10"/>
      <c r="G20" s="10"/>
      <c r="H20" s="10"/>
      <c r="I20" s="10"/>
      <c r="J20" s="10"/>
      <c r="K20" s="10"/>
      <c r="L20" s="7"/>
    </row>
    <row r="21" spans="2:12" ht="15">
      <c r="B21">
        <v>4</v>
      </c>
      <c r="C21" s="14" t="s">
        <v>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6">
        <v>0</v>
      </c>
    </row>
    <row r="22" spans="2:12" ht="15">
      <c r="B22">
        <v>5</v>
      </c>
      <c r="C22" s="14" t="s">
        <v>29</v>
      </c>
      <c r="D22" s="9">
        <v>32.71</v>
      </c>
      <c r="E22" s="9">
        <v>34.1</v>
      </c>
      <c r="F22" s="9">
        <v>36.01</v>
      </c>
      <c r="G22" s="9">
        <v>37.88</v>
      </c>
      <c r="H22" s="9">
        <v>40.18</v>
      </c>
      <c r="I22" s="9">
        <v>42.58</v>
      </c>
      <c r="J22" s="9">
        <v>45.25</v>
      </c>
      <c r="K22" s="9">
        <v>47.92</v>
      </c>
      <c r="L22" s="6">
        <v>50.62</v>
      </c>
    </row>
    <row r="23" spans="3:12" ht="15">
      <c r="C23" s="14"/>
      <c r="D23" s="9">
        <v>32.84</v>
      </c>
      <c r="E23" s="9">
        <v>34.25</v>
      </c>
      <c r="F23" s="9">
        <v>36.12</v>
      </c>
      <c r="G23" s="9">
        <v>38.17</v>
      </c>
      <c r="H23" s="9">
        <v>40.31</v>
      </c>
      <c r="I23" s="9">
        <v>42.75</v>
      </c>
      <c r="J23" s="9">
        <v>45.39</v>
      </c>
      <c r="K23" s="9">
        <v>48.06</v>
      </c>
      <c r="L23" s="6">
        <v>50.75</v>
      </c>
    </row>
    <row r="24" spans="2:12" ht="15">
      <c r="B24">
        <v>6</v>
      </c>
      <c r="C24" s="14" t="s">
        <v>30</v>
      </c>
      <c r="D24" s="9">
        <v>32.61</v>
      </c>
      <c r="E24" s="9">
        <v>33.93</v>
      </c>
      <c r="F24" s="9">
        <v>35.72</v>
      </c>
      <c r="G24" s="9">
        <v>37.8</v>
      </c>
      <c r="H24" s="9">
        <v>39.96</v>
      </c>
      <c r="I24" s="9">
        <v>42.47</v>
      </c>
      <c r="J24" s="9">
        <v>45.11</v>
      </c>
      <c r="K24" s="9">
        <v>47.81</v>
      </c>
      <c r="L24" s="6">
        <v>50.6</v>
      </c>
    </row>
    <row r="25" spans="3:12" ht="15">
      <c r="C25" s="14"/>
      <c r="D25" s="9">
        <v>32.74</v>
      </c>
      <c r="E25" s="9">
        <v>34.1</v>
      </c>
      <c r="F25" s="9">
        <v>35.94</v>
      </c>
      <c r="G25" s="9">
        <v>37.86</v>
      </c>
      <c r="H25" s="9">
        <v>40.17</v>
      </c>
      <c r="I25" s="9">
        <v>42.63</v>
      </c>
      <c r="J25" s="9">
        <v>45.22</v>
      </c>
      <c r="K25" s="9">
        <v>47.94</v>
      </c>
      <c r="L25" s="6">
        <v>50.6</v>
      </c>
    </row>
    <row r="26" spans="2:12" ht="15">
      <c r="B26">
        <v>7</v>
      </c>
      <c r="C26" s="14" t="s">
        <v>31</v>
      </c>
      <c r="D26" s="9">
        <f>AVERAGE(D22:D25)-D21</f>
        <v>32.725</v>
      </c>
      <c r="E26" s="9">
        <f aca="true" t="shared" si="1" ref="E26:L26">AVERAGE(E22:E25)-E21</f>
        <v>34.095</v>
      </c>
      <c r="F26" s="9">
        <f t="shared" si="1"/>
        <v>35.9475</v>
      </c>
      <c r="G26" s="9">
        <f t="shared" si="1"/>
        <v>37.9275</v>
      </c>
      <c r="H26" s="9">
        <f t="shared" si="1"/>
        <v>40.155</v>
      </c>
      <c r="I26" s="9">
        <f t="shared" si="1"/>
        <v>42.6075</v>
      </c>
      <c r="J26" s="9">
        <f t="shared" si="1"/>
        <v>45.2425</v>
      </c>
      <c r="K26" s="9">
        <f t="shared" si="1"/>
        <v>47.932500000000005</v>
      </c>
      <c r="L26" s="15">
        <f t="shared" si="1"/>
        <v>50.6425</v>
      </c>
    </row>
    <row r="27" spans="2:14" ht="15">
      <c r="B27">
        <v>8</v>
      </c>
      <c r="C27" s="14" t="s">
        <v>11</v>
      </c>
      <c r="D27" s="9">
        <f aca="true" t="shared" si="2" ref="D27:K27">D26-$D$12</f>
        <v>1.8200000000000003</v>
      </c>
      <c r="E27" s="9">
        <f t="shared" si="2"/>
        <v>3.1899999999999977</v>
      </c>
      <c r="F27" s="9">
        <f t="shared" si="2"/>
        <v>5.042499999999997</v>
      </c>
      <c r="G27" s="9">
        <f t="shared" si="2"/>
        <v>7.022500000000001</v>
      </c>
      <c r="H27" s="9">
        <f t="shared" si="2"/>
        <v>9.25</v>
      </c>
      <c r="I27" s="9">
        <f t="shared" si="2"/>
        <v>11.7025</v>
      </c>
      <c r="J27" s="9">
        <f t="shared" si="2"/>
        <v>14.337499999999999</v>
      </c>
      <c r="K27" s="9">
        <f t="shared" si="2"/>
        <v>17.027500000000003</v>
      </c>
      <c r="L27" s="6">
        <f>L26-$D$12</f>
        <v>19.737499999999997</v>
      </c>
      <c r="N27">
        <v>27.25</v>
      </c>
    </row>
    <row r="28" spans="3:12" ht="9" customHeight="1">
      <c r="C28" s="14"/>
      <c r="D28" s="9"/>
      <c r="E28" s="9"/>
      <c r="F28" s="9"/>
      <c r="G28" s="9"/>
      <c r="H28" s="9"/>
      <c r="I28" s="9"/>
      <c r="J28" s="9"/>
      <c r="K28" s="9"/>
      <c r="L28" s="6"/>
    </row>
    <row r="29" spans="2:14" ht="15">
      <c r="B29">
        <v>9</v>
      </c>
      <c r="C29" s="14" t="s">
        <v>25</v>
      </c>
      <c r="D29" s="41">
        <f aca="true" t="shared" si="3" ref="D29:L29">D27-D19</f>
        <v>0.1507772836228809</v>
      </c>
      <c r="E29" s="41">
        <f t="shared" si="3"/>
        <v>0.0488933952426418</v>
      </c>
      <c r="F29" s="41">
        <f t="shared" si="3"/>
        <v>0.0817000109957533</v>
      </c>
      <c r="G29" s="41">
        <f t="shared" si="3"/>
        <v>-0.0029090381127057086</v>
      </c>
      <c r="H29" s="41">
        <f t="shared" si="3"/>
        <v>-0.014063565286782875</v>
      </c>
      <c r="I29" s="41">
        <f t="shared" si="3"/>
        <v>-0.06579595638759095</v>
      </c>
      <c r="J29" s="41">
        <f t="shared" si="3"/>
        <v>0.006789794963985685</v>
      </c>
      <c r="K29" s="41">
        <f t="shared" si="3"/>
        <v>0.039362602718469475</v>
      </c>
      <c r="L29" s="42">
        <f t="shared" si="3"/>
        <v>0.063417454380577</v>
      </c>
      <c r="N29">
        <v>26.8</v>
      </c>
    </row>
    <row r="30" spans="2:14" ht="15">
      <c r="B30">
        <v>10</v>
      </c>
      <c r="C30" s="18" t="s">
        <v>50</v>
      </c>
      <c r="D30" s="9">
        <f>D29/8/$G$8</f>
        <v>0.04106945861987277</v>
      </c>
      <c r="E30" s="9">
        <f aca="true" t="shared" si="4" ref="E30:L30">E29/8/$G$8</f>
        <v>0.013317823643282812</v>
      </c>
      <c r="F30" s="9">
        <f t="shared" si="4"/>
        <v>0.022253851112118406</v>
      </c>
      <c r="G30" s="9">
        <f t="shared" si="4"/>
        <v>-0.0007923781190555256</v>
      </c>
      <c r="H30" s="9">
        <f t="shared" si="4"/>
        <v>-0.003830703131899098</v>
      </c>
      <c r="I30" s="9">
        <f t="shared" si="4"/>
        <v>-0.017921826440206887</v>
      </c>
      <c r="J30" s="9">
        <f t="shared" si="4"/>
        <v>0.0018494377708003341</v>
      </c>
      <c r="K30" s="9">
        <f t="shared" si="4"/>
        <v>0.01072177946619639</v>
      </c>
      <c r="L30" s="15">
        <f t="shared" si="4"/>
        <v>0.017273958356851127</v>
      </c>
      <c r="N30" s="21">
        <f>(N27+N29)/2</f>
        <v>27.025</v>
      </c>
    </row>
    <row r="31" spans="2:12" ht="15">
      <c r="B31">
        <v>11</v>
      </c>
      <c r="C31" s="18" t="s">
        <v>15</v>
      </c>
      <c r="D31" s="9">
        <f>D18/$D$9</f>
        <v>0.038581708009846616</v>
      </c>
      <c r="E31" s="9">
        <f aca="true" t="shared" si="5" ref="E31:L31">E18/$D$9</f>
        <v>0.05292558227608407</v>
      </c>
      <c r="F31" s="9">
        <f t="shared" si="5"/>
        <v>0.06651202423783374</v>
      </c>
      <c r="G31" s="9">
        <f t="shared" si="5"/>
        <v>0.07915167581897367</v>
      </c>
      <c r="H31" s="9">
        <f t="shared" si="5"/>
        <v>0.09089187653853437</v>
      </c>
      <c r="I31" s="9">
        <f t="shared" si="5"/>
        <v>0.1024427191819731</v>
      </c>
      <c r="J31" s="9">
        <f t="shared" si="5"/>
        <v>0.11304677144480212</v>
      </c>
      <c r="K31" s="9">
        <f t="shared" si="5"/>
        <v>0.12308274947926529</v>
      </c>
      <c r="L31" s="15">
        <f t="shared" si="5"/>
        <v>0.13245597424730166</v>
      </c>
    </row>
    <row r="32" spans="2:12" ht="15">
      <c r="B32">
        <v>12</v>
      </c>
      <c r="C32" s="18" t="s">
        <v>23</v>
      </c>
      <c r="D32" s="9">
        <f>D31*D30*1000</f>
        <v>1.5845298605944091</v>
      </c>
      <c r="E32" s="9">
        <f aca="true" t="shared" si="6" ref="E32:L32">E31*E30*1000</f>
        <v>0.7048535709709421</v>
      </c>
      <c r="F32" s="9">
        <f t="shared" si="6"/>
        <v>1.4801486845543628</v>
      </c>
      <c r="G32" s="9">
        <f t="shared" si="6"/>
        <v>-0.06271805600553108</v>
      </c>
      <c r="H32" s="9">
        <f t="shared" si="6"/>
        <v>-0.3481797961203497</v>
      </c>
      <c r="I32" s="9">
        <f t="shared" si="6"/>
        <v>-1.8359606332421747</v>
      </c>
      <c r="J32" s="9">
        <f t="shared" si="6"/>
        <v>0.2090729689770497</v>
      </c>
      <c r="K32" s="9">
        <f t="shared" si="6"/>
        <v>1.3196660960097808</v>
      </c>
      <c r="L32" s="6">
        <f t="shared" si="6"/>
        <v>2.288038983264034</v>
      </c>
    </row>
    <row r="33" spans="2:12" ht="15">
      <c r="B33">
        <v>13</v>
      </c>
      <c r="C33" s="67" t="s">
        <v>19</v>
      </c>
      <c r="D33" s="10">
        <f>D32/$D$13</f>
        <v>0.6368019798622712</v>
      </c>
      <c r="E33" s="10">
        <f aca="true" t="shared" si="7" ref="E33:L33">E32/$D$13</f>
        <v>0.283271499433219</v>
      </c>
      <c r="F33" s="10">
        <f t="shared" si="7"/>
        <v>0.5948525403372131</v>
      </c>
      <c r="G33" s="10">
        <f t="shared" si="7"/>
        <v>-0.025205572473372368</v>
      </c>
      <c r="H33" s="10">
        <f t="shared" si="7"/>
        <v>-0.13992893982717722</v>
      </c>
      <c r="I33" s="10">
        <f>I32/$D$13</f>
        <v>-0.7378487431970653</v>
      </c>
      <c r="J33" s="10">
        <f t="shared" si="7"/>
        <v>0.08402371194842864</v>
      </c>
      <c r="K33" s="10">
        <f t="shared" si="7"/>
        <v>0.5303566714614601</v>
      </c>
      <c r="L33" s="7">
        <f t="shared" si="7"/>
        <v>0.9195331629774498</v>
      </c>
    </row>
    <row r="34" spans="2:12" ht="15">
      <c r="B34">
        <v>14</v>
      </c>
      <c r="C34" s="18" t="s">
        <v>24</v>
      </c>
      <c r="D34" s="9">
        <f>-D32/$D$9*1000</f>
        <v>-1.5002176297996679</v>
      </c>
      <c r="E34" s="9">
        <f aca="true" t="shared" si="8" ref="E34:L34">-E32/$D$9*1000</f>
        <v>-0.6673485807337077</v>
      </c>
      <c r="F34" s="9">
        <f t="shared" si="8"/>
        <v>-1.4013905364082209</v>
      </c>
      <c r="G34" s="9">
        <f t="shared" si="8"/>
        <v>0.05938085211657932</v>
      </c>
      <c r="H34" s="9">
        <f t="shared" si="8"/>
        <v>0.32965328168940516</v>
      </c>
      <c r="I34" s="9">
        <f t="shared" si="8"/>
        <v>1.7382698667318448</v>
      </c>
      <c r="J34" s="9">
        <f t="shared" si="8"/>
        <v>-0.19794827587298777</v>
      </c>
      <c r="K34" s="9">
        <f t="shared" si="8"/>
        <v>-1.2494471653188608</v>
      </c>
      <c r="L34" s="6">
        <f t="shared" si="8"/>
        <v>-2.1662932998144613</v>
      </c>
    </row>
    <row r="35" spans="3:12" ht="15">
      <c r="C35" s="18"/>
      <c r="D35" s="9"/>
      <c r="E35" s="9"/>
      <c r="F35" s="9"/>
      <c r="G35" s="9"/>
      <c r="H35" s="9"/>
      <c r="I35" s="9"/>
      <c r="J35" s="9"/>
      <c r="K35" s="9"/>
      <c r="L35" s="6"/>
    </row>
    <row r="36" spans="3:12" ht="15">
      <c r="C36" s="18">
        <f>D17</f>
        <v>33</v>
      </c>
      <c r="D36" s="8">
        <f aca="true" t="shared" si="9" ref="D36:L36">E17</f>
        <v>48.5</v>
      </c>
      <c r="E36" s="8">
        <f t="shared" si="9"/>
        <v>63.2</v>
      </c>
      <c r="F36" s="8">
        <f t="shared" si="9"/>
        <v>77.5</v>
      </c>
      <c r="G36" s="8">
        <f t="shared" si="9"/>
        <v>89.8</v>
      </c>
      <c r="H36" s="8">
        <f t="shared" si="9"/>
        <v>102.5</v>
      </c>
      <c r="I36" s="8">
        <f t="shared" si="9"/>
        <v>114</v>
      </c>
      <c r="J36" s="8">
        <f t="shared" si="9"/>
        <v>125</v>
      </c>
      <c r="K36" s="8">
        <f t="shared" si="9"/>
        <v>135</v>
      </c>
      <c r="L36" s="25">
        <f t="shared" si="9"/>
        <v>145</v>
      </c>
    </row>
    <row r="37" spans="2:12" ht="15">
      <c r="B37">
        <v>15</v>
      </c>
      <c r="C37" s="18">
        <v>0</v>
      </c>
      <c r="D37" s="9">
        <f>D17+D34*(E17-D17)</f>
        <v>9.74662673810515</v>
      </c>
      <c r="E37" s="9">
        <f aca="true" t="shared" si="10" ref="E37:L37">D37+E34*(F17-E17)</f>
        <v>-0.06339739868035643</v>
      </c>
      <c r="F37" s="9">
        <f t="shared" si="10"/>
        <v>-20.103282069317913</v>
      </c>
      <c r="G37" s="9">
        <f t="shared" si="10"/>
        <v>-19.372897588283987</v>
      </c>
      <c r="H37" s="9">
        <f t="shared" si="10"/>
        <v>-15.18630091082854</v>
      </c>
      <c r="I37" s="9">
        <f t="shared" si="10"/>
        <v>4.803802556587675</v>
      </c>
      <c r="J37" s="9">
        <f t="shared" si="10"/>
        <v>2.6263715219848094</v>
      </c>
      <c r="K37" s="9">
        <f t="shared" si="10"/>
        <v>-9.868100131203798</v>
      </c>
      <c r="L37" s="6">
        <f t="shared" si="10"/>
        <v>-31.53103312934841</v>
      </c>
    </row>
    <row r="38" spans="3:12" s="20" customFormat="1" ht="15.75" thickBot="1">
      <c r="C38" s="19">
        <f>-1*C37/($D5-1)</f>
        <v>0</v>
      </c>
      <c r="D38" s="30">
        <f aca="true" t="shared" si="11" ref="D38:L38">-1*D37/($D5-1)</f>
        <v>-18.494547890142602</v>
      </c>
      <c r="E38" s="30">
        <f t="shared" si="11"/>
        <v>0.12029866922268774</v>
      </c>
      <c r="F38" s="30">
        <f t="shared" si="11"/>
        <v>38.14664529282337</v>
      </c>
      <c r="G38" s="30">
        <f t="shared" si="11"/>
        <v>36.76071648630738</v>
      </c>
      <c r="H38" s="30">
        <f t="shared" si="11"/>
        <v>28.81651026722684</v>
      </c>
      <c r="I38" s="30">
        <f t="shared" si="11"/>
        <v>-9.115374870185343</v>
      </c>
      <c r="J38" s="30">
        <f t="shared" si="11"/>
        <v>-4.983627176441765</v>
      </c>
      <c r="K38" s="30">
        <f t="shared" si="11"/>
        <v>18.72504768729374</v>
      </c>
      <c r="L38" s="26">
        <f t="shared" si="11"/>
        <v>59.83118240863077</v>
      </c>
    </row>
    <row r="39" spans="3:12" s="20" customFormat="1" ht="15"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3:13" ht="15">
      <c r="C40" s="62" t="s">
        <v>48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1</v>
      </c>
      <c r="K40" s="62">
        <v>0</v>
      </c>
      <c r="L40" s="62">
        <v>0</v>
      </c>
      <c r="M40" s="62">
        <v>0</v>
      </c>
    </row>
    <row r="41" spans="3:13" ht="15">
      <c r="C41" s="62" t="s">
        <v>49</v>
      </c>
      <c r="D41" s="62">
        <v>0</v>
      </c>
      <c r="E41" s="62">
        <v>1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3:12" ht="12.75" hidden="1">
      <c r="C42" s="5" t="s">
        <v>28</v>
      </c>
      <c r="D42" s="5">
        <f>C36*C36*D40+D36*D36*E40+E36*E36*F40+F36*F36*G40+G36*G36*H40+H36*H36*I40+I36*I36*J40+J36*J36*K40+K36*K36*L40+L36*L36*M40</f>
        <v>12996</v>
      </c>
      <c r="E42" s="5"/>
      <c r="F42" s="5"/>
      <c r="G42" s="5"/>
      <c r="H42" s="5"/>
      <c r="I42" s="5"/>
      <c r="J42" s="5"/>
      <c r="K42" s="5"/>
      <c r="L42" s="5"/>
    </row>
    <row r="43" spans="3:12" ht="12.75" hidden="1">
      <c r="C43" s="5" t="s">
        <v>32</v>
      </c>
      <c r="D43" s="5">
        <f>C36*C36*D41+D36*D36*E41+E36*E36*F41+F36*F36*G41+G36*G36*H41+H36*H36*I41+I36*I36*J41+J36*J36*K41+K36*K36*L41+L36*L36*M41</f>
        <v>2352.25</v>
      </c>
      <c r="E43" s="5"/>
      <c r="F43" s="5"/>
      <c r="G43" s="5"/>
      <c r="H43" s="5"/>
      <c r="I43" s="5"/>
      <c r="J43" s="5"/>
      <c r="K43" s="5"/>
      <c r="L43" s="5"/>
    </row>
    <row r="44" spans="3:12" ht="12.75" hidden="1">
      <c r="C44" s="5" t="s">
        <v>33</v>
      </c>
      <c r="D44" s="5">
        <f>D37*E40+E37*F40+F37*G40+G37*H40+H37*I40+I37*J40+J37*K40+K37*L40+L37*M40</f>
        <v>4.803802556587675</v>
      </c>
      <c r="E44" s="5"/>
      <c r="F44" s="5"/>
      <c r="G44" s="5"/>
      <c r="H44" s="5"/>
      <c r="I44" s="5"/>
      <c r="J44" s="5"/>
      <c r="K44" s="5"/>
      <c r="L44" s="5"/>
    </row>
    <row r="45" spans="3:12" ht="12.75" hidden="1">
      <c r="C45" s="5" t="s">
        <v>34</v>
      </c>
      <c r="D45" s="5">
        <f>D37*E41+E37*F41+F37*G41+G37*H41+H37*I41+I37*J41+J37*K41+K37*L41+L37*M41</f>
        <v>9.74662673810515</v>
      </c>
      <c r="E45" s="5"/>
      <c r="F45" s="5"/>
      <c r="G45" s="5"/>
      <c r="H45" s="5"/>
      <c r="I45" s="5"/>
      <c r="J45" s="5"/>
      <c r="K45" s="5"/>
      <c r="L45" s="5"/>
    </row>
    <row r="46" spans="3:12" ht="12.75" hidden="1">
      <c r="C46" s="5" t="s">
        <v>35</v>
      </c>
      <c r="D46" s="5">
        <f>(D44-D45)/(D42-D43)</f>
        <v>-0.0004643874744819706</v>
      </c>
      <c r="E46" s="5"/>
      <c r="F46" s="5"/>
      <c r="G46" s="5"/>
      <c r="H46" s="5"/>
      <c r="I46" s="5"/>
      <c r="J46" s="5"/>
      <c r="K46" s="5"/>
      <c r="L46" s="5"/>
    </row>
    <row r="47" spans="3:12" ht="12.75" hidden="1">
      <c r="C47" s="5" t="s">
        <v>36</v>
      </c>
      <c r="D47" s="5">
        <f>D45-D46*D43</f>
        <v>10.838982174955365</v>
      </c>
      <c r="E47" s="5"/>
      <c r="F47" s="5"/>
      <c r="G47" s="5"/>
      <c r="H47" s="5"/>
      <c r="I47" s="5"/>
      <c r="J47" s="5"/>
      <c r="K47" s="5"/>
      <c r="L47" s="5"/>
    </row>
    <row r="48" spans="3:13" ht="15">
      <c r="C48" s="62" t="s">
        <v>44</v>
      </c>
      <c r="D48" s="62">
        <f>$D$46*C36*C36+$D$47</f>
        <v>10.3332642152445</v>
      </c>
      <c r="E48" s="62">
        <f aca="true" t="shared" si="12" ref="E48:M48">$D$46*D36*D36+$D$47</f>
        <v>9.74662673810515</v>
      </c>
      <c r="F48" s="62">
        <f t="shared" si="12"/>
        <v>8.984107148880499</v>
      </c>
      <c r="G48" s="62">
        <f t="shared" si="12"/>
        <v>8.04975490634803</v>
      </c>
      <c r="H48" s="62">
        <f t="shared" si="12"/>
        <v>7.094143005233775</v>
      </c>
      <c r="I48" s="62">
        <f t="shared" si="12"/>
        <v>5.9600112711791615</v>
      </c>
      <c r="J48" s="62">
        <f t="shared" si="12"/>
        <v>4.803802556587676</v>
      </c>
      <c r="K48" s="62">
        <f t="shared" si="12"/>
        <v>3.5829278861745752</v>
      </c>
      <c r="L48" s="62">
        <f t="shared" si="12"/>
        <v>2.3755204525214513</v>
      </c>
      <c r="M48" s="62">
        <f t="shared" si="12"/>
        <v>1.0752355239719336</v>
      </c>
    </row>
    <row r="49" spans="3:13" ht="15">
      <c r="C49" s="62" t="s">
        <v>45</v>
      </c>
      <c r="D49" s="62">
        <f>D48-C37</f>
        <v>10.3332642152445</v>
      </c>
      <c r="E49" s="62">
        <f aca="true" t="shared" si="13" ref="E49:M49">E48-D37</f>
        <v>0</v>
      </c>
      <c r="F49" s="62">
        <f t="shared" si="13"/>
        <v>9.047504547560855</v>
      </c>
      <c r="G49" s="62">
        <f t="shared" si="13"/>
        <v>28.15303697566594</v>
      </c>
      <c r="H49" s="62">
        <f t="shared" si="13"/>
        <v>26.467040593517762</v>
      </c>
      <c r="I49" s="62">
        <f t="shared" si="13"/>
        <v>21.1463121820077</v>
      </c>
      <c r="J49" s="62">
        <f t="shared" si="13"/>
        <v>0</v>
      </c>
      <c r="K49" s="62">
        <f t="shared" si="13"/>
        <v>0.9565563641897659</v>
      </c>
      <c r="L49" s="62">
        <f t="shared" si="13"/>
        <v>12.24362058372525</v>
      </c>
      <c r="M49" s="62">
        <f t="shared" si="13"/>
        <v>32.60626865332034</v>
      </c>
    </row>
    <row r="50" spans="3:13" ht="13.5" thickBo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3:13" ht="18" thickBot="1">
      <c r="C51" s="61" t="s">
        <v>46</v>
      </c>
      <c r="D51" s="65">
        <f>MAX(F49:M49)</f>
        <v>32.60626865332034</v>
      </c>
      <c r="E51" s="63" t="s">
        <v>47</v>
      </c>
      <c r="F51" s="64">
        <f>ROUND(550/D51,2)</f>
        <v>16.87</v>
      </c>
      <c r="G51" s="5"/>
      <c r="H51" s="5"/>
      <c r="I51" s="5"/>
      <c r="J51" s="62"/>
      <c r="K51" s="5"/>
      <c r="L51" s="5"/>
      <c r="M51" s="5"/>
    </row>
    <row r="52" spans="3:13" ht="15">
      <c r="C52" s="5"/>
      <c r="D52" s="54"/>
      <c r="E52" s="54"/>
      <c r="F52" s="5"/>
      <c r="G52" s="5"/>
      <c r="H52" s="5"/>
      <c r="I52" s="5"/>
      <c r="J52" s="62"/>
      <c r="K52" s="5"/>
      <c r="L52" s="5"/>
      <c r="M52" s="5"/>
    </row>
    <row r="53" spans="3:12" ht="12.75">
      <c r="C53" s="5"/>
      <c r="D53" s="5"/>
      <c r="E53" s="5"/>
      <c r="F53" s="5"/>
      <c r="G53" s="5"/>
      <c r="H53" s="51"/>
      <c r="I53" s="5"/>
      <c r="J53" s="5"/>
      <c r="K53" s="5"/>
      <c r="L53" s="5"/>
    </row>
    <row r="54" spans="3:12" ht="17.25">
      <c r="C54" s="52" t="s">
        <v>21</v>
      </c>
      <c r="D54" s="53">
        <v>30.9</v>
      </c>
      <c r="K54" s="2"/>
      <c r="L54" s="2"/>
    </row>
    <row r="55" spans="3:12" ht="17.25">
      <c r="C55" s="57" t="s">
        <v>12</v>
      </c>
      <c r="D55" s="58">
        <v>2.314</v>
      </c>
      <c r="K55" s="2"/>
      <c r="L55" s="2"/>
    </row>
    <row r="56" spans="3:12" ht="12.75">
      <c r="C56" s="1" t="s">
        <v>41</v>
      </c>
      <c r="D56" s="3">
        <f>(D55-D7)/D7</f>
        <v>0.00019592572764462468</v>
      </c>
      <c r="K56" s="2"/>
      <c r="L56" s="2"/>
    </row>
    <row r="57" spans="4:12" ht="13.5" thickBot="1">
      <c r="D57" s="3"/>
      <c r="K57" s="2"/>
      <c r="L57" s="2"/>
    </row>
    <row r="58" spans="3:12" ht="15">
      <c r="C58" s="32" t="s">
        <v>13</v>
      </c>
      <c r="D58" s="33">
        <f aca="true" t="shared" si="14" ref="D58:L58">D19*$D$55/$D$7</f>
        <v>1.6695497600524265</v>
      </c>
      <c r="E58" s="33">
        <f t="shared" si="14"/>
        <v>3.141722028354502</v>
      </c>
      <c r="F58" s="33">
        <f t="shared" si="14"/>
        <v>4.961771937351789</v>
      </c>
      <c r="G58" s="33">
        <f t="shared" si="14"/>
        <v>7.0267854964905</v>
      </c>
      <c r="H58" s="33">
        <f t="shared" si="14"/>
        <v>9.265878633681757</v>
      </c>
      <c r="I58" s="33">
        <f t="shared" si="14"/>
        <v>11.770601668335985</v>
      </c>
      <c r="J58" s="33">
        <f t="shared" si="14"/>
        <v>14.3335179598606</v>
      </c>
      <c r="K58" s="33">
        <f t="shared" si="14"/>
        <v>16.991465810462422</v>
      </c>
      <c r="L58" s="34">
        <f t="shared" si="14"/>
        <v>19.67793720455791</v>
      </c>
    </row>
    <row r="59" spans="3:12" ht="15">
      <c r="C59" s="35" t="s">
        <v>11</v>
      </c>
      <c r="D59" s="36">
        <f aca="true" t="shared" si="15" ref="D59:K59">D26-$D$54</f>
        <v>1.8250000000000028</v>
      </c>
      <c r="E59" s="36">
        <f t="shared" si="15"/>
        <v>3.1950000000000003</v>
      </c>
      <c r="F59" s="36">
        <f t="shared" si="15"/>
        <v>5.047499999999999</v>
      </c>
      <c r="G59" s="36">
        <f t="shared" si="15"/>
        <v>7.027500000000003</v>
      </c>
      <c r="H59" s="36">
        <f t="shared" si="15"/>
        <v>9.255000000000003</v>
      </c>
      <c r="I59" s="36">
        <f t="shared" si="15"/>
        <v>11.707500000000003</v>
      </c>
      <c r="J59" s="36">
        <f t="shared" si="15"/>
        <v>14.342500000000001</v>
      </c>
      <c r="K59" s="36">
        <f t="shared" si="15"/>
        <v>17.032500000000006</v>
      </c>
      <c r="L59" s="6">
        <f>L26-$D$54</f>
        <v>19.7425</v>
      </c>
    </row>
    <row r="60" spans="3:14" ht="15">
      <c r="C60" s="35" t="s">
        <v>25</v>
      </c>
      <c r="D60" s="36">
        <f aca="true" t="shared" si="16" ref="D60:L60">D59-D58</f>
        <v>0.15545023994757634</v>
      </c>
      <c r="E60" s="36">
        <f>E59-E58</f>
        <v>0.0532779716454983</v>
      </c>
      <c r="F60" s="36">
        <f t="shared" si="16"/>
        <v>0.08572806264821065</v>
      </c>
      <c r="G60" s="36">
        <f t="shared" si="16"/>
        <v>0.00071450350950375</v>
      </c>
      <c r="H60" s="36">
        <f t="shared" si="16"/>
        <v>-0.010878633681754124</v>
      </c>
      <c r="I60" s="36">
        <f t="shared" si="16"/>
        <v>-0.06310166833598174</v>
      </c>
      <c r="J60" s="36">
        <f t="shared" si="16"/>
        <v>0.008982040139400738</v>
      </c>
      <c r="K60" s="36">
        <f t="shared" si="16"/>
        <v>0.04103418953758364</v>
      </c>
      <c r="L60" s="6">
        <f t="shared" si="16"/>
        <v>0.06456279544208954</v>
      </c>
      <c r="N60" s="2"/>
    </row>
    <row r="61" spans="3:14" ht="15">
      <c r="C61" s="37" t="s">
        <v>50</v>
      </c>
      <c r="D61" s="36">
        <f>D60/8/$G$8</f>
        <v>0.04234230146329185</v>
      </c>
      <c r="E61" s="36">
        <f aca="true" t="shared" si="17" ref="E61:L61">E60/8/$G$8</f>
        <v>0.014512116144221985</v>
      </c>
      <c r="F61" s="36">
        <f t="shared" si="17"/>
        <v>0.023351031646774243</v>
      </c>
      <c r="G61" s="36">
        <f t="shared" si="17"/>
        <v>0.00019461998261431106</v>
      </c>
      <c r="H61" s="36">
        <f t="shared" si="17"/>
        <v>-0.002963175785491834</v>
      </c>
      <c r="I61" s="36">
        <f t="shared" si="17"/>
        <v>-0.0171879429997654</v>
      </c>
      <c r="J61" s="36">
        <f t="shared" si="17"/>
        <v>0.002446572301632678</v>
      </c>
      <c r="K61" s="36">
        <f t="shared" si="17"/>
        <v>0.011177094511325083</v>
      </c>
      <c r="L61" s="6">
        <f t="shared" si="17"/>
        <v>0.017585931992409397</v>
      </c>
      <c r="N61" s="2">
        <f>SUM(D61:L61)</f>
        <v>0.0914585492570123</v>
      </c>
    </row>
    <row r="62" spans="3:12" ht="15">
      <c r="C62" s="37" t="s">
        <v>15</v>
      </c>
      <c r="D62" s="36">
        <f>D18/$D$9</f>
        <v>0.038581708009846616</v>
      </c>
      <c r="E62" s="36">
        <f aca="true" t="shared" si="18" ref="E62:L62">E18/$D$9</f>
        <v>0.05292558227608407</v>
      </c>
      <c r="F62" s="36">
        <f t="shared" si="18"/>
        <v>0.06651202423783374</v>
      </c>
      <c r="G62" s="36">
        <f t="shared" si="18"/>
        <v>0.07915167581897367</v>
      </c>
      <c r="H62" s="36">
        <f t="shared" si="18"/>
        <v>0.09089187653853437</v>
      </c>
      <c r="I62" s="36">
        <f t="shared" si="18"/>
        <v>0.1024427191819731</v>
      </c>
      <c r="J62" s="36">
        <f t="shared" si="18"/>
        <v>0.11304677144480212</v>
      </c>
      <c r="K62" s="36">
        <f t="shared" si="18"/>
        <v>0.12308274947926529</v>
      </c>
      <c r="L62" s="6">
        <f t="shared" si="18"/>
        <v>0.13245597424730166</v>
      </c>
    </row>
    <row r="63" spans="3:12" ht="15">
      <c r="C63" s="37" t="s">
        <v>20</v>
      </c>
      <c r="D63" s="36">
        <f aca="true" t="shared" si="19" ref="D63:L63">D62*D61*1000</f>
        <v>1.6336383115216273</v>
      </c>
      <c r="E63" s="36">
        <f t="shared" si="19"/>
        <v>0.7680621969911087</v>
      </c>
      <c r="F63" s="36">
        <f t="shared" si="19"/>
        <v>1.5531243828686712</v>
      </c>
      <c r="G63" s="36">
        <f t="shared" si="19"/>
        <v>0.015404497771782242</v>
      </c>
      <c r="H63" s="36">
        <f t="shared" si="19"/>
        <v>-0.26932860765689837</v>
      </c>
      <c r="I63" s="36">
        <f t="shared" si="19"/>
        <v>-1.7607796180407274</v>
      </c>
      <c r="J63" s="36">
        <f t="shared" si="19"/>
        <v>0.2765770998058528</v>
      </c>
      <c r="K63" s="36">
        <f t="shared" si="19"/>
        <v>1.3757075236434964</v>
      </c>
      <c r="L63" s="6">
        <f t="shared" si="19"/>
        <v>2.3293617551013774</v>
      </c>
    </row>
    <row r="64" spans="3:12" ht="15">
      <c r="C64" s="37" t="s">
        <v>19</v>
      </c>
      <c r="D64" s="36">
        <f aca="true" t="shared" si="20" ref="D64:L64">D63/$D$13</f>
        <v>0.6565380287409527</v>
      </c>
      <c r="E64" s="36">
        <f t="shared" si="20"/>
        <v>0.30867422562666313</v>
      </c>
      <c r="F64" s="36">
        <f t="shared" si="20"/>
        <v>0.6241805260849544</v>
      </c>
      <c r="G64" s="36">
        <f t="shared" si="20"/>
        <v>0.006190867666056458</v>
      </c>
      <c r="H64" s="36">
        <f t="shared" si="20"/>
        <v>-0.10823967086686713</v>
      </c>
      <c r="I64" s="36">
        <f t="shared" si="20"/>
        <v>-0.7076344692228421</v>
      </c>
      <c r="J64" s="36">
        <f t="shared" si="20"/>
        <v>0.11115274575820352</v>
      </c>
      <c r="K64" s="36">
        <f t="shared" si="20"/>
        <v>0.5528789936713242</v>
      </c>
      <c r="L64" s="6">
        <f t="shared" si="20"/>
        <v>0.9361402485072522</v>
      </c>
    </row>
    <row r="65" spans="3:12" ht="15">
      <c r="C65" s="37"/>
      <c r="D65" s="36"/>
      <c r="E65" s="36"/>
      <c r="F65" s="36"/>
      <c r="G65" s="36"/>
      <c r="H65" s="36"/>
      <c r="I65" s="36"/>
      <c r="J65" s="36"/>
      <c r="K65" s="36"/>
      <c r="L65" s="6"/>
    </row>
    <row r="66" spans="3:14" ht="15">
      <c r="C66" s="35"/>
      <c r="D66" s="36">
        <f>D63/$D$9</f>
        <v>0.001546713038744203</v>
      </c>
      <c r="E66" s="36">
        <f aca="true" t="shared" si="21" ref="E66:L66">E64*E64</f>
        <v>0.09527977756622014</v>
      </c>
      <c r="F66" s="36">
        <f t="shared" si="21"/>
        <v>0.3896013291436905</v>
      </c>
      <c r="G66" s="36">
        <f t="shared" si="21"/>
        <v>3.832684245862334E-05</v>
      </c>
      <c r="H66" s="36">
        <f t="shared" si="21"/>
        <v>0.011715826349367724</v>
      </c>
      <c r="I66" s="36">
        <f t="shared" si="21"/>
        <v>0.5007465420322935</v>
      </c>
      <c r="J66" s="36">
        <f t="shared" si="21"/>
        <v>0.012354932889587831</v>
      </c>
      <c r="K66" s="36">
        <f t="shared" si="21"/>
        <v>0.30567518164301616</v>
      </c>
      <c r="L66" s="6">
        <f t="shared" si="21"/>
        <v>0.8763585648752199</v>
      </c>
      <c r="N66" s="2">
        <f>SQRT((SUM(D66:L66))/9)</f>
        <v>0.49366173690770604</v>
      </c>
    </row>
    <row r="67" spans="3:12" ht="15">
      <c r="C67" s="35" t="s">
        <v>22</v>
      </c>
      <c r="D67" s="36">
        <f>-1000*D63/$D$9</f>
        <v>-1.546713038744203</v>
      </c>
      <c r="E67" s="36">
        <f aca="true" t="shared" si="22" ref="E67:L67">-1000*E63/$D$9</f>
        <v>-0.7271938998211595</v>
      </c>
      <c r="F67" s="36">
        <f t="shared" si="22"/>
        <v>-1.4704832255904858</v>
      </c>
      <c r="G67" s="36">
        <f t="shared" si="22"/>
        <v>-0.014584830308447493</v>
      </c>
      <c r="H67" s="36">
        <f t="shared" si="22"/>
        <v>0.2549977349525643</v>
      </c>
      <c r="I67" s="36">
        <f t="shared" si="22"/>
        <v>1.6670892047346406</v>
      </c>
      <c r="J67" s="36">
        <f t="shared" si="22"/>
        <v>-0.2618605375931195</v>
      </c>
      <c r="K67" s="36">
        <f t="shared" si="22"/>
        <v>-1.3025066499180993</v>
      </c>
      <c r="L67" s="6">
        <f t="shared" si="22"/>
        <v>-2.205417302690189</v>
      </c>
    </row>
    <row r="68" spans="3:12" ht="15">
      <c r="C68" s="35">
        <f>D17</f>
        <v>33</v>
      </c>
      <c r="D68" s="38">
        <f aca="true" t="shared" si="23" ref="D68:L68">E17</f>
        <v>48.5</v>
      </c>
      <c r="E68" s="38">
        <f t="shared" si="23"/>
        <v>63.2</v>
      </c>
      <c r="F68" s="38">
        <f t="shared" si="23"/>
        <v>77.5</v>
      </c>
      <c r="G68" s="38">
        <f t="shared" si="23"/>
        <v>89.8</v>
      </c>
      <c r="H68" s="38">
        <f t="shared" si="23"/>
        <v>102.5</v>
      </c>
      <c r="I68" s="38">
        <f t="shared" si="23"/>
        <v>114</v>
      </c>
      <c r="J68" s="38">
        <f t="shared" si="23"/>
        <v>125</v>
      </c>
      <c r="K68" s="38">
        <f t="shared" si="23"/>
        <v>135</v>
      </c>
      <c r="L68" s="39">
        <f t="shared" si="23"/>
        <v>145</v>
      </c>
    </row>
    <row r="69" spans="3:12" ht="15">
      <c r="C69" s="35">
        <v>0</v>
      </c>
      <c r="D69" s="36">
        <f>D17+D67*(E17-D17)</f>
        <v>9.025947899464853</v>
      </c>
      <c r="E69" s="36">
        <f>D69+E67*(F17-E17)</f>
        <v>-1.6638024279061927</v>
      </c>
      <c r="F69" s="36">
        <f aca="true" t="shared" si="24" ref="F69:L69">E69+F67*(G17-F17)</f>
        <v>-22.691712553850138</v>
      </c>
      <c r="G69" s="36">
        <f t="shared" si="24"/>
        <v>-22.87110596664404</v>
      </c>
      <c r="H69" s="36">
        <f t="shared" si="24"/>
        <v>-19.632634732746475</v>
      </c>
      <c r="I69" s="36">
        <f t="shared" si="24"/>
        <v>-0.46110887829810565</v>
      </c>
      <c r="J69" s="36">
        <f t="shared" si="24"/>
        <v>-3.34157479182242</v>
      </c>
      <c r="K69" s="36">
        <f t="shared" si="24"/>
        <v>-16.36664129100341</v>
      </c>
      <c r="L69" s="6">
        <f t="shared" si="24"/>
        <v>-38.420814317905304</v>
      </c>
    </row>
    <row r="70" spans="3:12" s="20" customFormat="1" ht="15.75" thickBot="1">
      <c r="C70" s="19">
        <f>-1*C69/($D30-1)</f>
        <v>0</v>
      </c>
      <c r="D70" s="30">
        <f>-1*D69/($D5-1)</f>
        <v>-17.127035862362153</v>
      </c>
      <c r="E70" s="30">
        <f aca="true" t="shared" si="25" ref="E70:L70">-1*E69/($D5-1)</f>
        <v>3.157120356558241</v>
      </c>
      <c r="F70" s="30">
        <f t="shared" si="25"/>
        <v>43.05827809079723</v>
      </c>
      <c r="G70" s="30">
        <f t="shared" si="25"/>
        <v>43.39868304866043</v>
      </c>
      <c r="H70" s="30">
        <f t="shared" si="25"/>
        <v>37.253576342972444</v>
      </c>
      <c r="I70" s="30">
        <f t="shared" si="25"/>
        <v>0.874969408535305</v>
      </c>
      <c r="J70" s="30">
        <f t="shared" si="25"/>
        <v>6.340749130592829</v>
      </c>
      <c r="K70" s="30">
        <f t="shared" si="25"/>
        <v>31.05624533397232</v>
      </c>
      <c r="L70" s="31">
        <f t="shared" si="25"/>
        <v>72.90477100171786</v>
      </c>
    </row>
    <row r="71" spans="3:13" ht="12.75">
      <c r="C71" s="5" t="s">
        <v>26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</row>
    <row r="72" spans="3:13" ht="12.75">
      <c r="C72" s="5" t="s">
        <v>27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3:12" ht="12.75">
      <c r="C73" s="5" t="s">
        <v>28</v>
      </c>
      <c r="D73" s="5">
        <f>C68*C68*D71+D68*D68*E71+E68*E68*F71+F68*F68*G71+G68*G68*H71+H68*H68*I71+I68*I68*J71+J68*J68*K71+K68*K68*L71+L68*L68*M71</f>
        <v>12996</v>
      </c>
      <c r="E73" s="5"/>
      <c r="F73" s="5"/>
      <c r="G73" s="5"/>
      <c r="H73" s="5"/>
      <c r="I73" s="5"/>
      <c r="J73" s="5"/>
      <c r="K73" s="5"/>
      <c r="L73" s="5"/>
    </row>
    <row r="74" spans="3:12" ht="12.75">
      <c r="C74" s="5" t="s">
        <v>32</v>
      </c>
      <c r="D74" s="5">
        <f>C68*C68*D72+D68*D68*E72+E68*E68*F72+F68*F68*G72+G68*G68*H72+H68*H68*I72+I68*I68*J72+J68*J68*K72+K68*K68*L72+L68*L68*M72</f>
        <v>2352.25</v>
      </c>
      <c r="E74" s="5"/>
      <c r="F74" s="5"/>
      <c r="G74" s="5"/>
      <c r="H74" s="5"/>
      <c r="I74" s="5"/>
      <c r="J74" s="5"/>
      <c r="K74" s="5"/>
      <c r="L74" s="5"/>
    </row>
    <row r="75" spans="3:12" ht="12.75">
      <c r="C75" s="5" t="s">
        <v>33</v>
      </c>
      <c r="D75" s="5">
        <f>D69*E71+E69*F71+F69*G71+G69*H71+H69*I71+I69*J71+J69*K71+K69*L71+L69*M71</f>
        <v>-0.46110887829810565</v>
      </c>
      <c r="E75" s="5"/>
      <c r="F75" s="5"/>
      <c r="G75" s="5"/>
      <c r="H75" s="5"/>
      <c r="I75" s="5"/>
      <c r="J75" s="5"/>
      <c r="K75" s="5"/>
      <c r="L75" s="5"/>
    </row>
    <row r="76" spans="3:12" ht="12.75">
      <c r="C76" s="5" t="s">
        <v>34</v>
      </c>
      <c r="D76" s="5">
        <f>D69*E72+E69*F72+F69*G72+G69*H72+H69*I72+I69*J72+J69*K72+K69*L72+L69*M72</f>
        <v>9.025947899464853</v>
      </c>
      <c r="E76" s="5"/>
      <c r="F76" s="5"/>
      <c r="G76" s="5"/>
      <c r="H76" s="5"/>
      <c r="I76" s="5"/>
      <c r="J76" s="5"/>
      <c r="K76" s="5"/>
      <c r="L76" s="5"/>
    </row>
    <row r="77" spans="3:12" ht="12.75">
      <c r="C77" s="5" t="s">
        <v>35</v>
      </c>
      <c r="D77" s="5">
        <f>(D75-D76)/(D73-D74)</f>
        <v>-0.0008913265322619339</v>
      </c>
      <c r="E77" s="5"/>
      <c r="F77" s="5"/>
      <c r="G77" s="5"/>
      <c r="H77" s="5"/>
      <c r="I77" s="5"/>
      <c r="J77" s="5"/>
      <c r="K77" s="5"/>
      <c r="L77" s="5"/>
    </row>
    <row r="78" spans="3:12" ht="12.75">
      <c r="C78" s="5" t="s">
        <v>36</v>
      </c>
      <c r="D78" s="5">
        <f>D76-D77*D74</f>
        <v>11.122570734977987</v>
      </c>
      <c r="E78" s="5"/>
      <c r="F78" s="5"/>
      <c r="G78" s="5"/>
      <c r="H78" s="5"/>
      <c r="I78" s="5"/>
      <c r="J78" s="5"/>
      <c r="K78" s="5"/>
      <c r="L78" s="5"/>
    </row>
    <row r="79" spans="3:13" ht="12.75">
      <c r="C79" s="5" t="s">
        <v>37</v>
      </c>
      <c r="D79" s="5">
        <f>$D$77*C68*C68+$D$78</f>
        <v>10.151916141344742</v>
      </c>
      <c r="E79" s="5">
        <f aca="true" t="shared" si="26" ref="E79:M79">$D$77*D68*D68+$D$78</f>
        <v>9.025947899464853</v>
      </c>
      <c r="F79" s="5">
        <f t="shared" si="26"/>
        <v>7.562398646756081</v>
      </c>
      <c r="G79" s="5">
        <f t="shared" si="26"/>
        <v>5.769040750579747</v>
      </c>
      <c r="H79" s="5">
        <f t="shared" si="26"/>
        <v>3.934877925756462</v>
      </c>
      <c r="I79" s="5">
        <f t="shared" si="26"/>
        <v>1.7580713554010448</v>
      </c>
      <c r="J79" s="5">
        <f t="shared" si="26"/>
        <v>-0.46110887829810565</v>
      </c>
      <c r="K79" s="5">
        <f t="shared" si="26"/>
        <v>-2.8044063316147287</v>
      </c>
      <c r="L79" s="5">
        <f t="shared" si="26"/>
        <v>-5.121855315495758</v>
      </c>
      <c r="M79" s="5">
        <f t="shared" si="26"/>
        <v>-7.617569605829171</v>
      </c>
    </row>
    <row r="80" spans="3:13" ht="12.75">
      <c r="C80" s="5" t="s">
        <v>38</v>
      </c>
      <c r="D80" s="5">
        <f aca="true" t="shared" si="27" ref="D80:M80">D79-C69</f>
        <v>10.151916141344742</v>
      </c>
      <c r="E80" s="5">
        <f t="shared" si="27"/>
        <v>0</v>
      </c>
      <c r="F80" s="5">
        <f t="shared" si="27"/>
        <v>9.226201074662274</v>
      </c>
      <c r="G80" s="5">
        <f t="shared" si="27"/>
        <v>28.460753304429886</v>
      </c>
      <c r="H80" s="5">
        <f t="shared" si="27"/>
        <v>26.805983892400505</v>
      </c>
      <c r="I80" s="5">
        <f t="shared" si="27"/>
        <v>21.390706088147518</v>
      </c>
      <c r="J80" s="5">
        <f t="shared" si="27"/>
        <v>0</v>
      </c>
      <c r="K80" s="5">
        <f t="shared" si="27"/>
        <v>0.5371684602076914</v>
      </c>
      <c r="L80" s="5">
        <f t="shared" si="27"/>
        <v>11.244785975507654</v>
      </c>
      <c r="M80" s="5">
        <f t="shared" si="27"/>
        <v>30.803244712076133</v>
      </c>
    </row>
    <row r="81" spans="3:13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3:13" ht="17.25">
      <c r="C82" s="5" t="s">
        <v>39</v>
      </c>
      <c r="D82" s="52">
        <f>MAX(F80:M80)</f>
        <v>30.803244712076133</v>
      </c>
      <c r="E82" s="52">
        <f>ROUND(550/D82,3)</f>
        <v>17.855</v>
      </c>
      <c r="F82" s="5"/>
      <c r="G82" s="5"/>
      <c r="H82" s="5"/>
      <c r="I82" s="5"/>
      <c r="J82" s="5"/>
      <c r="K82" s="5"/>
      <c r="L82" s="5"/>
      <c r="M82" s="5"/>
    </row>
  </sheetData>
  <mergeCells count="1">
    <mergeCell ref="C2:F2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6"/>
  <sheetViews>
    <sheetView workbookViewId="0" topLeftCell="A1">
      <selection activeCell="C13" sqref="C13:K13"/>
    </sheetView>
  </sheetViews>
  <sheetFormatPr defaultColWidth="11.421875" defaultRowHeight="12.75"/>
  <sheetData>
    <row r="3" spans="1:11" ht="12.75">
      <c r="A3" s="40">
        <v>43100</v>
      </c>
      <c r="B3">
        <v>33</v>
      </c>
      <c r="C3">
        <v>48.5</v>
      </c>
      <c r="D3">
        <v>63.2</v>
      </c>
      <c r="E3">
        <v>77.5</v>
      </c>
      <c r="F3">
        <v>89.8</v>
      </c>
      <c r="G3">
        <v>102.5</v>
      </c>
      <c r="H3">
        <v>114</v>
      </c>
      <c r="I3">
        <v>125</v>
      </c>
      <c r="J3">
        <v>135</v>
      </c>
      <c r="K3">
        <v>145</v>
      </c>
    </row>
    <row r="4" spans="2:11" ht="12.75">
      <c r="B4">
        <v>0</v>
      </c>
      <c r="C4">
        <f>C5/4</f>
        <v>53.00118403446271</v>
      </c>
      <c r="D4">
        <f aca="true" t="shared" si="0" ref="D4:K4">D5/4</f>
        <v>107.75446476146737</v>
      </c>
      <c r="E4">
        <f t="shared" si="0"/>
        <v>142.98226157990604</v>
      </c>
      <c r="F4">
        <f t="shared" si="0"/>
        <v>228.19723011763855</v>
      </c>
      <c r="G4">
        <f t="shared" si="0"/>
        <v>245.8587110698012</v>
      </c>
      <c r="H4">
        <f t="shared" si="0"/>
        <v>265.6020517014535</v>
      </c>
      <c r="I4">
        <f t="shared" si="0"/>
        <v>210.71700929339434</v>
      </c>
      <c r="J4">
        <f t="shared" si="0"/>
        <v>152.88043783165767</v>
      </c>
      <c r="K4">
        <f t="shared" si="0"/>
        <v>14.62531511678523</v>
      </c>
    </row>
    <row r="5" spans="2:11" ht="12.75">
      <c r="B5">
        <v>0</v>
      </c>
      <c r="C5">
        <v>212.00473613785084</v>
      </c>
      <c r="D5">
        <v>431.0178590458695</v>
      </c>
      <c r="E5">
        <v>571.9290463196241</v>
      </c>
      <c r="F5">
        <v>912.7889204705542</v>
      </c>
      <c r="G5">
        <v>983.4348442792048</v>
      </c>
      <c r="H5">
        <v>1062.408206805814</v>
      </c>
      <c r="I5">
        <v>842.8680371735774</v>
      </c>
      <c r="J5">
        <v>611.5217513266307</v>
      </c>
      <c r="K5">
        <v>58.50126046714092</v>
      </c>
    </row>
    <row r="6" spans="1:11" ht="12.75">
      <c r="A6" s="40">
        <v>42736</v>
      </c>
      <c r="B6">
        <v>33</v>
      </c>
      <c r="C6">
        <v>48.5</v>
      </c>
      <c r="D6">
        <v>63.2</v>
      </c>
      <c r="E6">
        <v>77.5</v>
      </c>
      <c r="F6">
        <v>89.8</v>
      </c>
      <c r="G6">
        <v>102.5</v>
      </c>
      <c r="H6">
        <v>114</v>
      </c>
      <c r="I6">
        <v>125</v>
      </c>
      <c r="J6">
        <v>135</v>
      </c>
      <c r="K6">
        <v>145</v>
      </c>
    </row>
    <row r="7" spans="2:11" ht="12.75">
      <c r="B7">
        <v>0</v>
      </c>
      <c r="C7">
        <f>C8/4</f>
        <v>8.276421232553288</v>
      </c>
      <c r="D7">
        <f aca="true" t="shared" si="1" ref="D7:K7">D8/4</f>
        <v>48.984825628774416</v>
      </c>
      <c r="E7">
        <f t="shared" si="1"/>
        <v>76.85403665521854</v>
      </c>
      <c r="F7">
        <f t="shared" si="1"/>
        <v>119.38638744605538</v>
      </c>
      <c r="G7">
        <f t="shared" si="1"/>
        <v>125.14022878597729</v>
      </c>
      <c r="H7">
        <f t="shared" si="1"/>
        <v>123.6161949535186</v>
      </c>
      <c r="I7">
        <f t="shared" si="1"/>
        <v>84.76573861287673</v>
      </c>
      <c r="J7">
        <f t="shared" si="1"/>
        <v>23.754968599648436</v>
      </c>
      <c r="K7">
        <f t="shared" si="1"/>
        <v>-12.022374725929794</v>
      </c>
    </row>
    <row r="8" spans="2:11" ht="12.75">
      <c r="B8">
        <v>0</v>
      </c>
      <c r="C8">
        <v>33.10568493021315</v>
      </c>
      <c r="D8">
        <v>195.93930251509767</v>
      </c>
      <c r="E8">
        <v>307.41614662087414</v>
      </c>
      <c r="F8">
        <v>477.5455497842215</v>
      </c>
      <c r="G8">
        <v>500.56091514390914</v>
      </c>
      <c r="H8">
        <v>494.4647798140744</v>
      </c>
      <c r="I8">
        <v>339.0629544515069</v>
      </c>
      <c r="J8">
        <v>95.01987439859374</v>
      </c>
      <c r="K8">
        <v>-48.089498903719175</v>
      </c>
    </row>
    <row r="9" spans="1:11" ht="12.75">
      <c r="A9" s="40">
        <v>42737</v>
      </c>
      <c r="B9">
        <v>33</v>
      </c>
      <c r="C9">
        <v>48.5</v>
      </c>
      <c r="D9">
        <v>63.2</v>
      </c>
      <c r="E9">
        <v>77.5</v>
      </c>
      <c r="F9">
        <v>89.8</v>
      </c>
      <c r="G9">
        <v>102.5</v>
      </c>
      <c r="H9">
        <v>114</v>
      </c>
      <c r="I9">
        <v>125</v>
      </c>
      <c r="J9">
        <v>135</v>
      </c>
      <c r="K9">
        <v>145</v>
      </c>
    </row>
    <row r="10" spans="2:11" ht="12.75">
      <c r="B10">
        <v>0</v>
      </c>
      <c r="C10">
        <f>C11/4</f>
        <v>13.674237432784253</v>
      </c>
      <c r="D10">
        <f aca="true" t="shared" si="2" ref="D10:K10">D11/4</f>
        <v>10.24160193225985</v>
      </c>
      <c r="E10">
        <f t="shared" si="2"/>
        <v>31.978658132042415</v>
      </c>
      <c r="F10">
        <f t="shared" si="2"/>
        <v>33.08376228618613</v>
      </c>
      <c r="G10">
        <f t="shared" si="2"/>
        <v>76.0489774143588</v>
      </c>
      <c r="H10">
        <f t="shared" si="2"/>
        <v>79.0822381099249</v>
      </c>
      <c r="I10">
        <f t="shared" si="2"/>
        <v>73.90441251085896</v>
      </c>
      <c r="J10">
        <f t="shared" si="2"/>
        <v>52.571124391268484</v>
      </c>
      <c r="K10">
        <f t="shared" si="2"/>
        <v>6.546003126761683</v>
      </c>
    </row>
    <row r="11" spans="2:11" ht="12.75">
      <c r="B11">
        <v>0</v>
      </c>
      <c r="C11">
        <v>54.69694973113701</v>
      </c>
      <c r="D11">
        <v>40.9664077290394</v>
      </c>
      <c r="E11">
        <v>127.91463252816966</v>
      </c>
      <c r="F11">
        <v>132.33504914474452</v>
      </c>
      <c r="G11">
        <v>304.1959096574352</v>
      </c>
      <c r="H11">
        <v>316.3289524396996</v>
      </c>
      <c r="I11">
        <v>295.61765004343584</v>
      </c>
      <c r="J11">
        <v>210.28449756507393</v>
      </c>
      <c r="K11">
        <v>26.18401250704673</v>
      </c>
    </row>
    <row r="12" spans="1:11" ht="12.75">
      <c r="A12" s="40">
        <v>42738</v>
      </c>
      <c r="B12">
        <v>33</v>
      </c>
      <c r="C12">
        <v>48.5</v>
      </c>
      <c r="D12">
        <v>63.2</v>
      </c>
      <c r="E12">
        <v>77.5</v>
      </c>
      <c r="F12">
        <v>89.8</v>
      </c>
      <c r="G12">
        <v>102.5</v>
      </c>
      <c r="H12">
        <v>114</v>
      </c>
      <c r="I12">
        <v>125</v>
      </c>
      <c r="J12">
        <v>135</v>
      </c>
      <c r="K12">
        <v>145</v>
      </c>
    </row>
    <row r="13" spans="2:11" ht="12.75">
      <c r="B13">
        <v>0</v>
      </c>
      <c r="C13">
        <f>C14/4</f>
        <v>11.360887632685426</v>
      </c>
      <c r="D13">
        <f aca="true" t="shared" si="3" ref="D13:K13">D14/4</f>
        <v>14.950690297552425</v>
      </c>
      <c r="E13">
        <f t="shared" si="3"/>
        <v>23.19700587867888</v>
      </c>
      <c r="F13">
        <f t="shared" si="3"/>
        <v>59.45250111850207</v>
      </c>
      <c r="G13">
        <f t="shared" si="3"/>
        <v>84.55625682831315</v>
      </c>
      <c r="H13">
        <f t="shared" si="3"/>
        <v>83.03222299585447</v>
      </c>
      <c r="I13">
        <f t="shared" si="3"/>
        <v>60.216352722631</v>
      </c>
      <c r="J13">
        <f t="shared" si="3"/>
        <v>23.01207184558472</v>
      </c>
      <c r="K13">
        <f t="shared" si="3"/>
        <v>-4.225456530886177</v>
      </c>
    </row>
    <row r="14" spans="2:11" ht="12.75">
      <c r="B14">
        <v>0</v>
      </c>
      <c r="C14">
        <v>45.4435505307417</v>
      </c>
      <c r="D14">
        <v>59.8027611902097</v>
      </c>
      <c r="E14">
        <v>92.78802351471552</v>
      </c>
      <c r="F14">
        <v>237.81000447400828</v>
      </c>
      <c r="G14">
        <v>338.2250273132526</v>
      </c>
      <c r="H14">
        <v>332.1288919834179</v>
      </c>
      <c r="I14">
        <v>240.865410890524</v>
      </c>
      <c r="J14">
        <v>92.04828738233888</v>
      </c>
      <c r="K14">
        <v>-16.90182612354471</v>
      </c>
    </row>
    <row r="18" ht="12.75">
      <c r="E18">
        <f>145*0.707</f>
        <v>102.515</v>
      </c>
    </row>
    <row r="26" spans="2:11" ht="12.75">
      <c r="B26">
        <v>33</v>
      </c>
      <c r="C26">
        <v>48.5</v>
      </c>
      <c r="D26">
        <v>63.2</v>
      </c>
      <c r="E26">
        <v>77.5</v>
      </c>
      <c r="F26">
        <v>89.8</v>
      </c>
      <c r="G26">
        <v>102.5</v>
      </c>
      <c r="H26">
        <v>114</v>
      </c>
      <c r="I26">
        <v>125</v>
      </c>
      <c r="J26">
        <v>135</v>
      </c>
      <c r="K26">
        <v>145</v>
      </c>
    </row>
    <row r="27" spans="2:11" ht="12.75">
      <c r="B27">
        <v>0</v>
      </c>
      <c r="C27">
        <v>-303.1011526841362</v>
      </c>
      <c r="D27">
        <v>-368.99837820057076</v>
      </c>
      <c r="E27">
        <v>-561.6764134972232</v>
      </c>
      <c r="F27">
        <v>-577.3419346438927</v>
      </c>
      <c r="G27">
        <v>-512.649830641361</v>
      </c>
      <c r="H27">
        <v>-293.91943592203194</v>
      </c>
      <c r="I27">
        <v>-404.42442029583606</v>
      </c>
      <c r="J27">
        <v>-489.7575727741935</v>
      </c>
      <c r="K27">
        <v>-332.2654598679124</v>
      </c>
    </row>
    <row r="29" spans="2:11" ht="12.75">
      <c r="B29">
        <v>33</v>
      </c>
      <c r="C29">
        <v>48.5</v>
      </c>
      <c r="D29">
        <v>63.2</v>
      </c>
      <c r="E29">
        <v>77.5</v>
      </c>
      <c r="F29">
        <v>89.8</v>
      </c>
      <c r="G29">
        <v>102.5</v>
      </c>
      <c r="H29">
        <v>114</v>
      </c>
      <c r="I29">
        <v>125</v>
      </c>
      <c r="J29">
        <v>135</v>
      </c>
      <c r="K29">
        <v>145</v>
      </c>
    </row>
    <row r="30" spans="2:11" ht="12.75">
      <c r="B30">
        <v>0</v>
      </c>
      <c r="C30">
        <v>-216.7360934804495</v>
      </c>
      <c r="D30">
        <v>-306.71024984965254</v>
      </c>
      <c r="E30">
        <v>-376.74518861306706</v>
      </c>
      <c r="F30">
        <v>-392.41070975973656</v>
      </c>
      <c r="G30">
        <v>-339.6262453694466</v>
      </c>
      <c r="H30">
        <v>-205.96534850656158</v>
      </c>
      <c r="I30">
        <v>-252.33198861069667</v>
      </c>
      <c r="J30">
        <v>-401.14911211887727</v>
      </c>
      <c r="K30">
        <v>-325.6392227240296</v>
      </c>
    </row>
    <row r="32" spans="2:11" ht="12.75">
      <c r="B32">
        <v>33</v>
      </c>
      <c r="C32">
        <v>48.5</v>
      </c>
      <c r="D32">
        <v>63.2</v>
      </c>
      <c r="E32">
        <v>77.5</v>
      </c>
      <c r="F32">
        <v>89.8</v>
      </c>
      <c r="G32">
        <v>102.5</v>
      </c>
      <c r="H32">
        <v>114</v>
      </c>
      <c r="I32">
        <v>125</v>
      </c>
      <c r="J32">
        <v>135</v>
      </c>
      <c r="K32">
        <v>145</v>
      </c>
    </row>
    <row r="33" spans="2:11" ht="12.75">
      <c r="B33">
        <v>0</v>
      </c>
      <c r="C33">
        <v>-235.24289188124015</v>
      </c>
      <c r="D33">
        <v>-273.05036473610625</v>
      </c>
      <c r="E33">
        <v>-284.2166171635678</v>
      </c>
      <c r="F33">
        <v>-289.83916942861333</v>
      </c>
      <c r="G33">
        <v>-320.40818232399886</v>
      </c>
      <c r="H33">
        <v>-174.59450005304913</v>
      </c>
      <c r="I33">
        <v>-304.3409877077545</v>
      </c>
      <c r="J33">
        <v>-281.7513894354129</v>
      </c>
      <c r="K33">
        <v>-254.06446375556925</v>
      </c>
    </row>
    <row r="35" spans="2:11" ht="12.75">
      <c r="B35" s="43">
        <v>33</v>
      </c>
      <c r="C35" s="44">
        <v>48.5</v>
      </c>
      <c r="D35" s="44">
        <v>63.2</v>
      </c>
      <c r="E35" s="44">
        <v>77.5</v>
      </c>
      <c r="F35" s="44">
        <v>89.8</v>
      </c>
      <c r="G35" s="44">
        <v>102.5</v>
      </c>
      <c r="H35" s="44">
        <v>114</v>
      </c>
      <c r="I35" s="44">
        <v>125</v>
      </c>
      <c r="J35" s="44">
        <v>135</v>
      </c>
      <c r="K35" s="45">
        <v>145</v>
      </c>
    </row>
    <row r="36" spans="2:11" ht="12.75">
      <c r="B36" s="43">
        <v>0</v>
      </c>
      <c r="C36" s="46">
        <v>-175.37253641250624</v>
      </c>
      <c r="D36" s="46">
        <v>-300.4870196678679</v>
      </c>
      <c r="E36" s="46">
        <v>-316.38157576700826</v>
      </c>
      <c r="F36" s="46">
        <v>-317.97937383960283</v>
      </c>
      <c r="G36" s="46">
        <v>-357.19889330730933</v>
      </c>
      <c r="H36" s="46">
        <v>-325.241981799497</v>
      </c>
      <c r="I36" s="46">
        <v>-410.2763356188226</v>
      </c>
      <c r="J36" s="46">
        <v>-465.9677796242522</v>
      </c>
      <c r="K36" s="47">
        <v>-408.4674352759012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selection activeCell="D16" sqref="D16"/>
    </sheetView>
  </sheetViews>
  <sheetFormatPr defaultColWidth="11.421875" defaultRowHeight="12.75"/>
  <cols>
    <col min="2" max="2" width="21.28125" style="0" customWidth="1"/>
  </cols>
  <sheetData>
    <row r="2" spans="2:3" ht="12.75">
      <c r="B2" t="s">
        <v>51</v>
      </c>
      <c r="C2">
        <f>972+556</f>
        <v>1528</v>
      </c>
    </row>
    <row r="3" spans="2:3" ht="12.75">
      <c r="B3" t="s">
        <v>52</v>
      </c>
      <c r="C3">
        <f>100+384</f>
        <v>484</v>
      </c>
    </row>
    <row r="4" spans="2:3" ht="12.75">
      <c r="B4" t="s">
        <v>56</v>
      </c>
      <c r="C4">
        <f>310+3+25</f>
        <v>338</v>
      </c>
    </row>
    <row r="5" spans="2:3" ht="12.75">
      <c r="B5" t="s">
        <v>53</v>
      </c>
      <c r="C5">
        <f>C3-C4</f>
        <v>146</v>
      </c>
    </row>
    <row r="7" spans="2:3" ht="12.75">
      <c r="B7" t="s">
        <v>54</v>
      </c>
      <c r="C7">
        <v>25</v>
      </c>
    </row>
    <row r="9" spans="2:3" ht="12.75">
      <c r="B9" t="s">
        <v>55</v>
      </c>
      <c r="C9">
        <f>C2+C7+12+20</f>
        <v>1585</v>
      </c>
    </row>
    <row r="13" spans="2:6" ht="12.75">
      <c r="B13" t="s">
        <v>57</v>
      </c>
      <c r="C13">
        <v>80</v>
      </c>
      <c r="F13">
        <v>150</v>
      </c>
    </row>
    <row r="14" spans="2:6" ht="12.75">
      <c r="B14" t="s">
        <v>58</v>
      </c>
      <c r="C14">
        <v>15</v>
      </c>
      <c r="F14">
        <v>3</v>
      </c>
    </row>
    <row r="15" spans="2:3" ht="12.75">
      <c r="B15" t="s">
        <v>59</v>
      </c>
      <c r="C15">
        <v>1.523</v>
      </c>
    </row>
    <row r="17" spans="2:6" ht="12.75">
      <c r="B17" t="s">
        <v>61</v>
      </c>
      <c r="C17">
        <v>290</v>
      </c>
      <c r="F17">
        <f>F13*F13/2/F14</f>
        <v>3750</v>
      </c>
    </row>
    <row r="18" spans="2:6" ht="12.75">
      <c r="B18" t="s">
        <v>62</v>
      </c>
      <c r="C18">
        <f>C17*6</f>
        <v>1740</v>
      </c>
      <c r="F18">
        <f>F17/2/F13/2</f>
        <v>6.25</v>
      </c>
    </row>
    <row r="20" spans="2:3" ht="12.75">
      <c r="B20" t="s">
        <v>63</v>
      </c>
      <c r="C20">
        <f>C17-SQRT(C17*C17-C13*C13)</f>
        <v>11.252802704672945</v>
      </c>
    </row>
    <row r="21" spans="2:6" ht="12.75">
      <c r="B21" t="s">
        <v>66</v>
      </c>
      <c r="C21">
        <f>PI()*C20*C20/3*(3*C17-C20)/1000</f>
        <v>113.87158338013087</v>
      </c>
      <c r="D21" t="s">
        <v>65</v>
      </c>
      <c r="E21">
        <f>PI()*C13*C13*C20</f>
        <v>226251.02277949362</v>
      </c>
      <c r="F21">
        <f>PI()*F14*F14/3*(3*F17-F14)/1000</f>
        <v>106.00047772477322</v>
      </c>
    </row>
    <row r="23" spans="2:3" ht="12.75">
      <c r="B23" t="s">
        <v>64</v>
      </c>
      <c r="C23">
        <f>C18-SQRT(C18*C18-C13*C13)</f>
        <v>1.8400533897922742</v>
      </c>
    </row>
    <row r="24" spans="2:4" ht="12.75">
      <c r="B24" t="s">
        <v>67</v>
      </c>
      <c r="C24">
        <f>PI()*C23*C23/3*(3*C18-C23)/1000</f>
        <v>18.501496321676438</v>
      </c>
      <c r="D24" t="s">
        <v>65</v>
      </c>
    </row>
    <row r="26" spans="2:3" ht="12.75">
      <c r="B26" t="s">
        <v>68</v>
      </c>
      <c r="C26">
        <f>C20+C23</f>
        <v>13.092856094465219</v>
      </c>
    </row>
    <row r="28" spans="2:3" ht="12.75">
      <c r="B28" t="s">
        <v>60</v>
      </c>
      <c r="C28">
        <f>6*C17/7/(C15-1)</f>
        <v>475.27997814804706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2016-12-22T12:09:34Z</dcterms:created>
  <dcterms:modified xsi:type="dcterms:W3CDTF">2017-03-25T13:55:14Z</dcterms:modified>
  <cp:category/>
  <cp:version/>
  <cp:contentType/>
  <cp:contentStatus/>
</cp:coreProperties>
</file>