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2" windowWidth="8844" windowHeight="6180" activeTab="1"/>
  </bookViews>
  <sheets>
    <sheet name="optimisaton barillet " sheetId="1" r:id="rId1"/>
    <sheet name="deformation radiale" sheetId="2" r:id="rId2"/>
    <sheet name="Graph3" sheetId="3" r:id="rId3"/>
    <sheet name="ecart parabole" sheetId="4" r:id="rId4"/>
    <sheet name="deformation en teta" sheetId="5" r:id="rId5"/>
    <sheet name="leviers astatiques" sheetId="6" r:id="rId6"/>
  </sheets>
  <definedNames/>
  <calcPr fullCalcOnLoad="1"/>
</workbook>
</file>

<file path=xl/sharedStrings.xml><?xml version="1.0" encoding="utf-8"?>
<sst xmlns="http://schemas.openxmlformats.org/spreadsheetml/2006/main" count="194" uniqueCount="138">
  <si>
    <t>sigma</t>
  </si>
  <si>
    <t>module d'young</t>
  </si>
  <si>
    <t>E</t>
  </si>
  <si>
    <t>module de poisson</t>
  </si>
  <si>
    <t>densité</t>
  </si>
  <si>
    <t>delta</t>
  </si>
  <si>
    <t>g</t>
  </si>
  <si>
    <t>epaisseur du miroir</t>
  </si>
  <si>
    <t>cm</t>
  </si>
  <si>
    <t>rayon du miroir</t>
  </si>
  <si>
    <t>acceleration pesanteur</t>
  </si>
  <si>
    <t>e</t>
  </si>
  <si>
    <t>R</t>
  </si>
  <si>
    <t>gdelta/E</t>
  </si>
  <si>
    <t>R4/e2</t>
  </si>
  <si>
    <t>appuis 1</t>
  </si>
  <si>
    <t>ksi</t>
  </si>
  <si>
    <t>U2</t>
  </si>
  <si>
    <t>ksi2</t>
  </si>
  <si>
    <t>ksi4</t>
  </si>
  <si>
    <t>U</t>
  </si>
  <si>
    <t>V</t>
  </si>
  <si>
    <t>U1</t>
  </si>
  <si>
    <t>ro^2</t>
  </si>
  <si>
    <t>del</t>
  </si>
  <si>
    <t>1/4V-U</t>
  </si>
  <si>
    <t>alpha</t>
  </si>
  <si>
    <t>beta</t>
  </si>
  <si>
    <t>gamma</t>
  </si>
  <si>
    <t>appuis 2</t>
  </si>
  <si>
    <t>parabole</t>
  </si>
  <si>
    <t>ecart</t>
  </si>
  <si>
    <t xml:space="preserve">deformation </t>
  </si>
  <si>
    <t>µm</t>
  </si>
  <si>
    <t>appuis 3</t>
  </si>
  <si>
    <t>Y</t>
  </si>
  <si>
    <t>lambda</t>
  </si>
  <si>
    <t>g/cm3</t>
  </si>
  <si>
    <t>fleche</t>
  </si>
  <si>
    <t>volume calotte spherique</t>
  </si>
  <si>
    <t>cm3</t>
  </si>
  <si>
    <t>masse miroir ébauché</t>
  </si>
  <si>
    <t>alpha beta gamma</t>
  </si>
  <si>
    <t>5+sig/1+sig</t>
  </si>
  <si>
    <t>6+2sig/1+sig</t>
  </si>
  <si>
    <t>1-sig/1+sig</t>
  </si>
  <si>
    <t>densité bronze</t>
  </si>
  <si>
    <t>densité acier</t>
  </si>
  <si>
    <t>densité aluminium</t>
  </si>
  <si>
    <t>poids support alu</t>
  </si>
  <si>
    <t>moment petite tige</t>
  </si>
  <si>
    <t>moment grande tige</t>
  </si>
  <si>
    <t>distance point appuis axe</t>
  </si>
  <si>
    <t>force sur appuis exterieur</t>
  </si>
  <si>
    <t>position centre grosse masselotte par rapport a l'axe xmin=7,8cm</t>
  </si>
  <si>
    <t>position centre petite masselotte par rapport a l'axe xmin=7cm</t>
  </si>
  <si>
    <t>longueur petite masselotte</t>
  </si>
  <si>
    <t>longueurgrosse masselotte</t>
  </si>
  <si>
    <t>position bord masselotte</t>
  </si>
  <si>
    <t>f</t>
  </si>
  <si>
    <t>nombre total d'appuis</t>
  </si>
  <si>
    <t>nombre d'appuis cercle R1</t>
  </si>
  <si>
    <t>nombre d'appuis cercle R2</t>
  </si>
  <si>
    <t>nombre d'appuis cercle R3</t>
  </si>
  <si>
    <t>R1 du premier cercle</t>
  </si>
  <si>
    <t>R2 du deuxieme cercle</t>
  </si>
  <si>
    <t>charge cercle 1</t>
  </si>
  <si>
    <t>charge cercle 2</t>
  </si>
  <si>
    <t>charge cercle 3</t>
  </si>
  <si>
    <t>rayon cercle cm</t>
  </si>
  <si>
    <t>masse cercle</t>
  </si>
  <si>
    <t>masse par appui</t>
  </si>
  <si>
    <t>R3 du troisieme cercle</t>
  </si>
  <si>
    <t>focale miroir</t>
  </si>
  <si>
    <t>ro</t>
  </si>
  <si>
    <t>def appuis 1</t>
  </si>
  <si>
    <t>def appuis 2</t>
  </si>
  <si>
    <t>def appuis 3</t>
  </si>
  <si>
    <t>profil miroir</t>
  </si>
  <si>
    <t>r1</t>
  </si>
  <si>
    <t>calcul des leviers astatiques</t>
  </si>
  <si>
    <t xml:space="preserve">rayon barre bronze </t>
  </si>
  <si>
    <t>poids masselotte (percée)</t>
  </si>
  <si>
    <t>poids grosse masselotte (percée)</t>
  </si>
  <si>
    <t>poids appuis cercle 1</t>
  </si>
  <si>
    <t>poids appuis cercle 2</t>
  </si>
  <si>
    <t>poids appuis cercle 3</t>
  </si>
  <si>
    <t>poids tige 100mm acier</t>
  </si>
  <si>
    <t>poids tige 125mm acier</t>
  </si>
  <si>
    <t>:</t>
  </si>
  <si>
    <t>données materiaux</t>
  </si>
  <si>
    <t>les cases grise sont à remplir</t>
  </si>
  <si>
    <t>charge</t>
  </si>
  <si>
    <t>total doit etre =1</t>
  </si>
  <si>
    <t>profil de deformation du miroir</t>
  </si>
  <si>
    <t>zerodur</t>
  </si>
  <si>
    <t xml:space="preserve">verre </t>
  </si>
  <si>
    <t>quartz</t>
  </si>
  <si>
    <t>&lt; 12 (W3)</t>
  </si>
  <si>
    <t>&lt; 6,8 (W6)</t>
  </si>
  <si>
    <t>&lt; 5,0 (W9)</t>
  </si>
  <si>
    <t>nu</t>
  </si>
  <si>
    <t>a</t>
  </si>
  <si>
    <t>epaisseur miroir</t>
  </si>
  <si>
    <t>SI</t>
  </si>
  <si>
    <t>Pa</t>
  </si>
  <si>
    <t>D</t>
  </si>
  <si>
    <t>P</t>
  </si>
  <si>
    <t>N</t>
  </si>
  <si>
    <t>kg</t>
  </si>
  <si>
    <t>pref</t>
  </si>
  <si>
    <t>cte</t>
  </si>
  <si>
    <t>m</t>
  </si>
  <si>
    <t>K</t>
  </si>
  <si>
    <t>wo+w1</t>
  </si>
  <si>
    <t>w2</t>
  </si>
  <si>
    <t>()*ro^6</t>
  </si>
  <si>
    <t>()*ro^12</t>
  </si>
  <si>
    <t>()*ro^18</t>
  </si>
  <si>
    <t>teta</t>
  </si>
  <si>
    <t>cte6</t>
  </si>
  <si>
    <t>cte3</t>
  </si>
  <si>
    <t>test</t>
  </si>
  <si>
    <t>nombre d'appuis exterieurs</t>
  </si>
  <si>
    <t>cte9</t>
  </si>
  <si>
    <t>precision  lambda</t>
  </si>
  <si>
    <t>PV (surface)</t>
  </si>
  <si>
    <t>nm</t>
  </si>
  <si>
    <t>ecart  onde</t>
  </si>
  <si>
    <t>optimisation barillet avec leviers astatiques (J.Dijon)</t>
  </si>
  <si>
    <t>optimisation: cette valeur doit etre proche de zero</t>
  </si>
  <si>
    <t>resultats</t>
  </si>
  <si>
    <t>analytique</t>
  </si>
  <si>
    <t>barrilet 3pts</t>
  </si>
  <si>
    <t>barrilet 6pts</t>
  </si>
  <si>
    <t>plop (PV)</t>
  </si>
  <si>
    <t xml:space="preserve">3 triangles </t>
  </si>
  <si>
    <t>ep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</si>
</sst>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"/>
    <numFmt numFmtId="167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16.8"/>
      <color indexed="8"/>
      <name val="Arial"/>
      <family val="0"/>
    </font>
    <font>
      <sz val="8"/>
      <name val="Arial"/>
      <family val="0"/>
    </font>
    <font>
      <sz val="10.2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sz val="10.5"/>
      <name val="Arial"/>
      <family val="0"/>
    </font>
    <font>
      <b/>
      <sz val="11"/>
      <name val="Arial"/>
      <family val="0"/>
    </font>
    <font>
      <b/>
      <sz val="11.5"/>
      <name val="Arial"/>
      <family val="0"/>
    </font>
    <font>
      <sz val="9.75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7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/>
    </xf>
    <xf numFmtId="0" fontId="3" fillId="20" borderId="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2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/>
    </xf>
    <xf numFmtId="0" fontId="0" fillId="21" borderId="0" xfId="0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8" fillId="20" borderId="0" xfId="0" applyFont="1" applyFill="1" applyBorder="1" applyAlignment="1">
      <alignment horizontal="center"/>
    </xf>
    <xf numFmtId="2" fontId="28" fillId="20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29" fillId="0" borderId="16" xfId="0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28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43" fillId="0" borderId="0" xfId="0" applyFont="1" applyAlignment="1">
      <alignment/>
    </xf>
    <xf numFmtId="0" fontId="3" fillId="22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43" fillId="22" borderId="0" xfId="0" applyFont="1" applyFill="1" applyAlignment="1">
      <alignment/>
    </xf>
    <xf numFmtId="0" fontId="44" fillId="0" borderId="0" xfId="0" applyFont="1" applyBorder="1" applyAlignment="1">
      <alignment horizontal="center"/>
    </xf>
    <xf numFmtId="11" fontId="0" fillId="20" borderId="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par rapport à la parabole</a:t>
            </a:r>
          </a:p>
        </c:rich>
      </c:tx>
      <c:layout>
        <c:manualLayout>
          <c:xMode val="factor"/>
          <c:yMode val="factor"/>
          <c:x val="0.04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71"/>
          <c:w val="0.9345"/>
          <c:h val="0.86"/>
        </c:manualLayout>
      </c:layout>
      <c:scatterChart>
        <c:scatterStyle val="lineMarker"/>
        <c:varyColors val="0"/>
        <c:ser>
          <c:idx val="0"/>
          <c:order val="0"/>
          <c:tx>
            <c:v>profil miroir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'deformation radiale'!$A$5:$A$45</c:f>
              <c:numCache>
                <c:ptCount val="41"/>
                <c:pt idx="0">
                  <c:v>-1.0000000000000002</c:v>
                </c:pt>
                <c:pt idx="1">
                  <c:v>-0.9500000000000003</c:v>
                </c:pt>
                <c:pt idx="2">
                  <c:v>-0.9000000000000002</c:v>
                </c:pt>
                <c:pt idx="3">
                  <c:v>-0.8500000000000002</c:v>
                </c:pt>
                <c:pt idx="4">
                  <c:v>-0.8000000000000002</c:v>
                </c:pt>
                <c:pt idx="5">
                  <c:v>-0.7500000000000001</c:v>
                </c:pt>
                <c:pt idx="6">
                  <c:v>-0.7000000000000001</c:v>
                </c:pt>
                <c:pt idx="7">
                  <c:v>-0.65</c:v>
                </c:pt>
                <c:pt idx="8">
                  <c:v>-0.6</c:v>
                </c:pt>
                <c:pt idx="9">
                  <c:v>-0.5499999999999999</c:v>
                </c:pt>
                <c:pt idx="10">
                  <c:v>-0.49999999999999994</c:v>
                </c:pt>
                <c:pt idx="11">
                  <c:v>-0.44999999999999996</c:v>
                </c:pt>
                <c:pt idx="12">
                  <c:v>-0.39999999999999997</c:v>
                </c:pt>
                <c:pt idx="13">
                  <c:v>-0.35</c:v>
                </c:pt>
                <c:pt idx="14">
                  <c:v>-0.3</c:v>
                </c:pt>
                <c:pt idx="15">
                  <c:v>-0.25</c:v>
                </c:pt>
                <c:pt idx="16">
                  <c:v>-0.2</c:v>
                </c:pt>
                <c:pt idx="17">
                  <c:v>-0.15000000000000002</c:v>
                </c:pt>
                <c:pt idx="18">
                  <c:v>-0.1</c:v>
                </c:pt>
                <c:pt idx="19">
                  <c:v>-0.05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0.15000000000000002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0.39999999999999997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0.5499999999999999</c:v>
                </c:pt>
                <c:pt idx="32">
                  <c:v>0.6</c:v>
                </c:pt>
                <c:pt idx="33">
                  <c:v>0.65</c:v>
                </c:pt>
                <c:pt idx="34">
                  <c:v>0.7000000000000001</c:v>
                </c:pt>
                <c:pt idx="35">
                  <c:v>0.7500000000000001</c:v>
                </c:pt>
                <c:pt idx="36">
                  <c:v>0.8000000000000002</c:v>
                </c:pt>
                <c:pt idx="37">
                  <c:v>0.8500000000000002</c:v>
                </c:pt>
                <c:pt idx="38">
                  <c:v>0.9000000000000002</c:v>
                </c:pt>
                <c:pt idx="39">
                  <c:v>0.9500000000000003</c:v>
                </c:pt>
                <c:pt idx="40">
                  <c:v>1.0000000000000002</c:v>
                </c:pt>
              </c:numCache>
            </c:numRef>
          </c:xVal>
          <c:yVal>
            <c:numRef>
              <c:f>'deformation radiale'!$J$5:$J$45</c:f>
              <c:numCache>
                <c:ptCount val="41"/>
                <c:pt idx="0">
                  <c:v>7.890190165911904E-17</c:v>
                </c:pt>
                <c:pt idx="1">
                  <c:v>0.011923456723893564</c:v>
                </c:pt>
                <c:pt idx="2">
                  <c:v>0.023785666079417282</c:v>
                </c:pt>
                <c:pt idx="3">
                  <c:v>0.03541144691675307</c:v>
                </c:pt>
                <c:pt idx="4">
                  <c:v>0.0466446866923427</c:v>
                </c:pt>
                <c:pt idx="5">
                  <c:v>0.05734924146453527</c:v>
                </c:pt>
                <c:pt idx="6">
                  <c:v>0.06741007686205826</c:v>
                </c:pt>
                <c:pt idx="7">
                  <c:v>0.07673474227357321</c:v>
                </c:pt>
                <c:pt idx="8">
                  <c:v>0.08525531763006163</c:v>
                </c:pt>
                <c:pt idx="9">
                  <c:v>0.09293105020614156</c:v>
                </c:pt>
                <c:pt idx="10">
                  <c:v>0.09975203340164265</c:v>
                </c:pt>
                <c:pt idx="11">
                  <c:v>0.10574452231900607</c:v>
                </c:pt>
                <c:pt idx="12">
                  <c:v>0.11097894384739522</c:v>
                </c:pt>
                <c:pt idx="13">
                  <c:v>0.11558260062665258</c:v>
                </c:pt>
                <c:pt idx="14">
                  <c:v>0.11971470404951945</c:v>
                </c:pt>
                <c:pt idx="15">
                  <c:v>0.12336030420517213</c:v>
                </c:pt>
                <c:pt idx="16">
                  <c:v>0.12644483265892573</c:v>
                </c:pt>
                <c:pt idx="17">
                  <c:v>0.12890723059675768</c:v>
                </c:pt>
                <c:pt idx="18">
                  <c:v>0.1307000078299836</c:v>
                </c:pt>
                <c:pt idx="19">
                  <c:v>0.1317892427952576</c:v>
                </c:pt>
                <c:pt idx="20">
                  <c:v>0.13215458255457194</c:v>
                </c:pt>
                <c:pt idx="21">
                  <c:v>0.1317892427952576</c:v>
                </c:pt>
                <c:pt idx="22">
                  <c:v>0.1307000078299836</c:v>
                </c:pt>
                <c:pt idx="23">
                  <c:v>0.12890723059675768</c:v>
                </c:pt>
                <c:pt idx="24">
                  <c:v>0.12644483265892573</c:v>
                </c:pt>
                <c:pt idx="25">
                  <c:v>0.12336030420517213</c:v>
                </c:pt>
                <c:pt idx="26">
                  <c:v>0.11971470404951945</c:v>
                </c:pt>
                <c:pt idx="27">
                  <c:v>0.11558260062665258</c:v>
                </c:pt>
                <c:pt idx="28">
                  <c:v>0.11097894384739522</c:v>
                </c:pt>
                <c:pt idx="29">
                  <c:v>0.10574452231900607</c:v>
                </c:pt>
                <c:pt idx="30">
                  <c:v>0.09975203340164265</c:v>
                </c:pt>
                <c:pt idx="31">
                  <c:v>0.09293105020614156</c:v>
                </c:pt>
                <c:pt idx="32">
                  <c:v>0.08525531763006163</c:v>
                </c:pt>
                <c:pt idx="33">
                  <c:v>0.07673474227357321</c:v>
                </c:pt>
                <c:pt idx="34">
                  <c:v>0.06741007686205826</c:v>
                </c:pt>
                <c:pt idx="35">
                  <c:v>0.05734924146453527</c:v>
                </c:pt>
                <c:pt idx="36">
                  <c:v>0.0466446866923427</c:v>
                </c:pt>
                <c:pt idx="37">
                  <c:v>0.03541144691675307</c:v>
                </c:pt>
                <c:pt idx="38">
                  <c:v>0.023785666079417282</c:v>
                </c:pt>
                <c:pt idx="39">
                  <c:v>0.011923456723893564</c:v>
                </c:pt>
                <c:pt idx="40">
                  <c:v>7.890190165911904E-17</c:v>
                </c:pt>
              </c:numCache>
            </c:numRef>
          </c:yVal>
          <c:smooth val="0"/>
        </c:ser>
        <c:ser>
          <c:idx val="1"/>
          <c:order val="1"/>
          <c:tx>
            <c:v>parabole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'deformation radiale'!$A$5:$A$45</c:f>
              <c:numCache>
                <c:ptCount val="41"/>
                <c:pt idx="0">
                  <c:v>-1.0000000000000002</c:v>
                </c:pt>
                <c:pt idx="1">
                  <c:v>-0.9500000000000003</c:v>
                </c:pt>
                <c:pt idx="2">
                  <c:v>-0.9000000000000002</c:v>
                </c:pt>
                <c:pt idx="3">
                  <c:v>-0.8500000000000002</c:v>
                </c:pt>
                <c:pt idx="4">
                  <c:v>-0.8000000000000002</c:v>
                </c:pt>
                <c:pt idx="5">
                  <c:v>-0.7500000000000001</c:v>
                </c:pt>
                <c:pt idx="6">
                  <c:v>-0.7000000000000001</c:v>
                </c:pt>
                <c:pt idx="7">
                  <c:v>-0.65</c:v>
                </c:pt>
                <c:pt idx="8">
                  <c:v>-0.6</c:v>
                </c:pt>
                <c:pt idx="9">
                  <c:v>-0.5499999999999999</c:v>
                </c:pt>
                <c:pt idx="10">
                  <c:v>-0.49999999999999994</c:v>
                </c:pt>
                <c:pt idx="11">
                  <c:v>-0.44999999999999996</c:v>
                </c:pt>
                <c:pt idx="12">
                  <c:v>-0.39999999999999997</c:v>
                </c:pt>
                <c:pt idx="13">
                  <c:v>-0.35</c:v>
                </c:pt>
                <c:pt idx="14">
                  <c:v>-0.3</c:v>
                </c:pt>
                <c:pt idx="15">
                  <c:v>-0.25</c:v>
                </c:pt>
                <c:pt idx="16">
                  <c:v>-0.2</c:v>
                </c:pt>
                <c:pt idx="17">
                  <c:v>-0.15000000000000002</c:v>
                </c:pt>
                <c:pt idx="18">
                  <c:v>-0.1</c:v>
                </c:pt>
                <c:pt idx="19">
                  <c:v>-0.05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0.15000000000000002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0.39999999999999997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0.5499999999999999</c:v>
                </c:pt>
                <c:pt idx="32">
                  <c:v>0.6</c:v>
                </c:pt>
                <c:pt idx="33">
                  <c:v>0.65</c:v>
                </c:pt>
                <c:pt idx="34">
                  <c:v>0.7000000000000001</c:v>
                </c:pt>
                <c:pt idx="35">
                  <c:v>0.7500000000000001</c:v>
                </c:pt>
                <c:pt idx="36">
                  <c:v>0.8000000000000002</c:v>
                </c:pt>
                <c:pt idx="37">
                  <c:v>0.8500000000000002</c:v>
                </c:pt>
                <c:pt idx="38">
                  <c:v>0.9000000000000002</c:v>
                </c:pt>
                <c:pt idx="39">
                  <c:v>0.9500000000000003</c:v>
                </c:pt>
                <c:pt idx="40">
                  <c:v>1.0000000000000002</c:v>
                </c:pt>
              </c:numCache>
            </c:numRef>
          </c:xVal>
          <c:yVal>
            <c:numRef>
              <c:f>'deformation radiale'!$K$5:$K$45</c:f>
              <c:numCache>
                <c:ptCount val="41"/>
                <c:pt idx="0">
                  <c:v>-5.868842414472472E-17</c:v>
                </c:pt>
                <c:pt idx="1">
                  <c:v>0.012885071799070695</c:v>
                </c:pt>
                <c:pt idx="2">
                  <c:v>0.02510937068536862</c:v>
                </c:pt>
                <c:pt idx="3">
                  <c:v>0.036672896658893665</c:v>
                </c:pt>
                <c:pt idx="4">
                  <c:v>0.04757564971964587</c:v>
                </c:pt>
                <c:pt idx="5">
                  <c:v>0.057817629867625196</c:v>
                </c:pt>
                <c:pt idx="6">
                  <c:v>0.06739883710283168</c:v>
                </c:pt>
                <c:pt idx="7">
                  <c:v>0.07631927142526528</c:v>
                </c:pt>
                <c:pt idx="8">
                  <c:v>0.08457893283492604</c:v>
                </c:pt>
                <c:pt idx="9">
                  <c:v>0.09217782133181393</c:v>
                </c:pt>
                <c:pt idx="10">
                  <c:v>0.09911593691592896</c:v>
                </c:pt>
                <c:pt idx="11">
                  <c:v>0.10539327958727113</c:v>
                </c:pt>
                <c:pt idx="12">
                  <c:v>0.11100984934584043</c:v>
                </c:pt>
                <c:pt idx="13">
                  <c:v>0.11596564619163688</c:v>
                </c:pt>
                <c:pt idx="14">
                  <c:v>0.12026067012466046</c:v>
                </c:pt>
                <c:pt idx="15">
                  <c:v>0.12389492114491119</c:v>
                </c:pt>
                <c:pt idx="16">
                  <c:v>0.12686839925238905</c:v>
                </c:pt>
                <c:pt idx="17">
                  <c:v>0.12918110444709408</c:v>
                </c:pt>
                <c:pt idx="18">
                  <c:v>0.13083303672902621</c:v>
                </c:pt>
                <c:pt idx="19">
                  <c:v>0.13182419609818552</c:v>
                </c:pt>
                <c:pt idx="20">
                  <c:v>0.13215458255457194</c:v>
                </c:pt>
                <c:pt idx="21">
                  <c:v>0.13182419609818552</c:v>
                </c:pt>
                <c:pt idx="22">
                  <c:v>0.13083303672902621</c:v>
                </c:pt>
                <c:pt idx="23">
                  <c:v>0.12918110444709408</c:v>
                </c:pt>
                <c:pt idx="24">
                  <c:v>0.12686839925238905</c:v>
                </c:pt>
                <c:pt idx="25">
                  <c:v>0.12389492114491119</c:v>
                </c:pt>
                <c:pt idx="26">
                  <c:v>0.12026067012466046</c:v>
                </c:pt>
                <c:pt idx="27">
                  <c:v>0.11596564619163688</c:v>
                </c:pt>
                <c:pt idx="28">
                  <c:v>0.11100984934584043</c:v>
                </c:pt>
                <c:pt idx="29">
                  <c:v>0.10539327958727113</c:v>
                </c:pt>
                <c:pt idx="30">
                  <c:v>0.09911593691592896</c:v>
                </c:pt>
                <c:pt idx="31">
                  <c:v>0.09217782133181393</c:v>
                </c:pt>
                <c:pt idx="32">
                  <c:v>0.08457893283492604</c:v>
                </c:pt>
                <c:pt idx="33">
                  <c:v>0.07631927142526528</c:v>
                </c:pt>
                <c:pt idx="34">
                  <c:v>0.06739883710283168</c:v>
                </c:pt>
                <c:pt idx="35">
                  <c:v>0.057817629867625196</c:v>
                </c:pt>
                <c:pt idx="36">
                  <c:v>0.04757564971964587</c:v>
                </c:pt>
                <c:pt idx="37">
                  <c:v>0.036672896658893665</c:v>
                </c:pt>
                <c:pt idx="38">
                  <c:v>0.02510937068536862</c:v>
                </c:pt>
                <c:pt idx="39">
                  <c:v>0.012885071799070695</c:v>
                </c:pt>
                <c:pt idx="40">
                  <c:v>-5.868842414472472E-17</c:v>
                </c:pt>
              </c:numCache>
            </c:numRef>
          </c:yVal>
          <c:smooth val="1"/>
        </c:ser>
        <c:axId val="59128599"/>
        <c:axId val="62395344"/>
      </c:scatterChart>
      <c:valAx>
        <c:axId val="59128599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r/R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95344"/>
        <c:crosses val="autoZero"/>
        <c:crossBetween val="midCat"/>
        <c:dispUnits/>
      </c:valAx>
      <c:valAx>
        <c:axId val="6239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µm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28599"/>
        <c:crossesAt val="-1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10775"/>
          <c:w val="0.20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deformation bord du miroir (1/2 surface d'onde)</a:t>
            </a:r>
          </a:p>
        </c:rich>
      </c:tx>
      <c:layout>
        <c:manualLayout>
          <c:xMode val="factor"/>
          <c:yMode val="factor"/>
          <c:x val="0.14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93"/>
          <c:w val="0.897"/>
          <c:h val="0.8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'deformation en teta'!$M$26:$CO$26</c:f>
              <c:numCache>
                <c:ptCount val="81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0.175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0.4000000000000001</c:v>
                </c:pt>
                <c:pt idx="17">
                  <c:v>0.4250000000000001</c:v>
                </c:pt>
                <c:pt idx="18">
                  <c:v>0.4500000000000001</c:v>
                </c:pt>
                <c:pt idx="19">
                  <c:v>0.47500000000000014</c:v>
                </c:pt>
                <c:pt idx="20">
                  <c:v>0.5000000000000001</c:v>
                </c:pt>
                <c:pt idx="21">
                  <c:v>0.5250000000000001</c:v>
                </c:pt>
                <c:pt idx="22">
                  <c:v>0.5500000000000002</c:v>
                </c:pt>
                <c:pt idx="23">
                  <c:v>0.5750000000000002</c:v>
                </c:pt>
                <c:pt idx="24">
                  <c:v>0.6000000000000002</c:v>
                </c:pt>
                <c:pt idx="25">
                  <c:v>0.6250000000000002</c:v>
                </c:pt>
                <c:pt idx="26">
                  <c:v>0.6500000000000002</c:v>
                </c:pt>
                <c:pt idx="27">
                  <c:v>0.6750000000000003</c:v>
                </c:pt>
                <c:pt idx="28">
                  <c:v>0.7000000000000003</c:v>
                </c:pt>
                <c:pt idx="29">
                  <c:v>0.7250000000000003</c:v>
                </c:pt>
                <c:pt idx="30">
                  <c:v>0.7500000000000003</c:v>
                </c:pt>
                <c:pt idx="31">
                  <c:v>0.7750000000000004</c:v>
                </c:pt>
                <c:pt idx="32">
                  <c:v>0.8000000000000004</c:v>
                </c:pt>
                <c:pt idx="33">
                  <c:v>0.8250000000000004</c:v>
                </c:pt>
                <c:pt idx="34">
                  <c:v>0.8500000000000004</c:v>
                </c:pt>
                <c:pt idx="35">
                  <c:v>0.8750000000000004</c:v>
                </c:pt>
                <c:pt idx="36">
                  <c:v>0.9000000000000005</c:v>
                </c:pt>
                <c:pt idx="37">
                  <c:v>0.9250000000000005</c:v>
                </c:pt>
                <c:pt idx="38">
                  <c:v>0.9500000000000005</c:v>
                </c:pt>
                <c:pt idx="39">
                  <c:v>0.9750000000000005</c:v>
                </c:pt>
                <c:pt idx="40">
                  <c:v>1.0000000000000004</c:v>
                </c:pt>
                <c:pt idx="41">
                  <c:v>1.0250000000000004</c:v>
                </c:pt>
                <c:pt idx="42">
                  <c:v>1.0500000000000003</c:v>
                </c:pt>
                <c:pt idx="43">
                  <c:v>1.0750000000000002</c:v>
                </c:pt>
                <c:pt idx="44">
                  <c:v>1.1</c:v>
                </c:pt>
                <c:pt idx="45">
                  <c:v>1.125</c:v>
                </c:pt>
                <c:pt idx="46">
                  <c:v>1.15</c:v>
                </c:pt>
                <c:pt idx="47">
                  <c:v>1.1749999999999998</c:v>
                </c:pt>
                <c:pt idx="48">
                  <c:v>1.1999999999999997</c:v>
                </c:pt>
                <c:pt idx="49">
                  <c:v>1.2249999999999996</c:v>
                </c:pt>
                <c:pt idx="50">
                  <c:v>1.2499999999999996</c:v>
                </c:pt>
                <c:pt idx="51">
                  <c:v>1.2749999999999995</c:v>
                </c:pt>
                <c:pt idx="52">
                  <c:v>1.2999999999999994</c:v>
                </c:pt>
                <c:pt idx="53">
                  <c:v>1.3249999999999993</c:v>
                </c:pt>
                <c:pt idx="54">
                  <c:v>1.3499999999999992</c:v>
                </c:pt>
                <c:pt idx="55">
                  <c:v>1.3749999999999991</c:v>
                </c:pt>
                <c:pt idx="56">
                  <c:v>1.399999999999999</c:v>
                </c:pt>
                <c:pt idx="57">
                  <c:v>1.424999999999999</c:v>
                </c:pt>
                <c:pt idx="58">
                  <c:v>1.4499999999999988</c:v>
                </c:pt>
                <c:pt idx="59">
                  <c:v>1.4749999999999988</c:v>
                </c:pt>
                <c:pt idx="60">
                  <c:v>1.4999999999999987</c:v>
                </c:pt>
                <c:pt idx="61">
                  <c:v>1.5249999999999986</c:v>
                </c:pt>
                <c:pt idx="62">
                  <c:v>1.5499999999999985</c:v>
                </c:pt>
                <c:pt idx="63">
                  <c:v>1.5749999999999984</c:v>
                </c:pt>
                <c:pt idx="64">
                  <c:v>1.5999999999999983</c:v>
                </c:pt>
                <c:pt idx="65">
                  <c:v>1.6249999999999982</c:v>
                </c:pt>
                <c:pt idx="66">
                  <c:v>1.6499999999999981</c:v>
                </c:pt>
                <c:pt idx="67">
                  <c:v>1.674999999999998</c:v>
                </c:pt>
                <c:pt idx="68">
                  <c:v>1.699999999999998</c:v>
                </c:pt>
                <c:pt idx="69">
                  <c:v>1.7249999999999979</c:v>
                </c:pt>
                <c:pt idx="70">
                  <c:v>1.7499999999999978</c:v>
                </c:pt>
                <c:pt idx="71">
                  <c:v>1.7749999999999977</c:v>
                </c:pt>
                <c:pt idx="72">
                  <c:v>1.7999999999999976</c:v>
                </c:pt>
                <c:pt idx="73">
                  <c:v>1.8249999999999975</c:v>
                </c:pt>
                <c:pt idx="74">
                  <c:v>1.8499999999999974</c:v>
                </c:pt>
                <c:pt idx="75">
                  <c:v>1.8749999999999973</c:v>
                </c:pt>
                <c:pt idx="76">
                  <c:v>1.8999999999999972</c:v>
                </c:pt>
                <c:pt idx="77">
                  <c:v>1.9249999999999972</c:v>
                </c:pt>
                <c:pt idx="78">
                  <c:v>1.949999999999997</c:v>
                </c:pt>
                <c:pt idx="79">
                  <c:v>1.974999999999997</c:v>
                </c:pt>
                <c:pt idx="80">
                  <c:v>1.999999999999997</c:v>
                </c:pt>
              </c:numCache>
            </c:numRef>
          </c:xVal>
          <c:yVal>
            <c:numRef>
              <c:f>'deformation en teta'!$M$48:$CO$48</c:f>
              <c:numCache>
                <c:ptCount val="81"/>
                <c:pt idx="0">
                  <c:v>-0.5452897668802547</c:v>
                </c:pt>
                <c:pt idx="1">
                  <c:v>-3.053057644227812</c:v>
                </c:pt>
                <c:pt idx="2">
                  <c:v>-9.5639238948344</c:v>
                </c:pt>
                <c:pt idx="3">
                  <c:v>-17.64527456797518</c:v>
                </c:pt>
                <c:pt idx="4">
                  <c:v>-24.81001643685438</c:v>
                </c:pt>
                <c:pt idx="5">
                  <c:v>-29.656824977410142</c:v>
                </c:pt>
                <c:pt idx="6">
                  <c:v>-32.043297428131254</c:v>
                </c:pt>
                <c:pt idx="7">
                  <c:v>-32.36335219169826</c:v>
                </c:pt>
                <c:pt idx="8">
                  <c:v>-30.707717220951356</c:v>
                </c:pt>
                <c:pt idx="9">
                  <c:v>-26.711835107605364</c:v>
                </c:pt>
                <c:pt idx="10">
                  <c:v>-20.233425948266163</c:v>
                </c:pt>
                <c:pt idx="11">
                  <c:v>-12.218921700471999</c:v>
                </c:pt>
                <c:pt idx="12">
                  <c:v>-4.881156420445561</c:v>
                </c:pt>
                <c:pt idx="13">
                  <c:v>-0.8329972576351838</c:v>
                </c:pt>
                <c:pt idx="14">
                  <c:v>-1.6823543161868544</c:v>
                </c:pt>
                <c:pt idx="15">
                  <c:v>-7.08358312496454</c:v>
                </c:pt>
                <c:pt idx="16">
                  <c:v>-14.945148023576888</c:v>
                </c:pt>
                <c:pt idx="17">
                  <c:v>-22.639192187440745</c:v>
                </c:pt>
                <c:pt idx="18">
                  <c:v>-28.328018668518055</c:v>
                </c:pt>
                <c:pt idx="19">
                  <c:v>-31.49700175244422</c:v>
                </c:pt>
                <c:pt idx="20">
                  <c:v>-32.4686745413368</c:v>
                </c:pt>
                <c:pt idx="21">
                  <c:v>-31.4970017524442</c:v>
                </c:pt>
                <c:pt idx="22">
                  <c:v>-28.328018668518027</c:v>
                </c:pt>
                <c:pt idx="23">
                  <c:v>-22.639192187440678</c:v>
                </c:pt>
                <c:pt idx="24">
                  <c:v>-14.945148023576808</c:v>
                </c:pt>
                <c:pt idx="25">
                  <c:v>-7.0835831249644725</c:v>
                </c:pt>
                <c:pt idx="26">
                  <c:v>-1.682354316186822</c:v>
                </c:pt>
                <c:pt idx="27">
                  <c:v>-0.8329972576351964</c:v>
                </c:pt>
                <c:pt idx="28">
                  <c:v>-4.8811564204456195</c:v>
                </c:pt>
                <c:pt idx="29">
                  <c:v>-12.218921700472078</c:v>
                </c:pt>
                <c:pt idx="30">
                  <c:v>-20.233425948266227</c:v>
                </c:pt>
                <c:pt idx="31">
                  <c:v>-26.71183510760543</c:v>
                </c:pt>
                <c:pt idx="32">
                  <c:v>-30.707717220951395</c:v>
                </c:pt>
                <c:pt idx="33">
                  <c:v>-32.36335219169827</c:v>
                </c:pt>
                <c:pt idx="34">
                  <c:v>-32.043297428131226</c:v>
                </c:pt>
                <c:pt idx="35">
                  <c:v>-29.65682497741009</c:v>
                </c:pt>
                <c:pt idx="36">
                  <c:v>-24.8100164368543</c:v>
                </c:pt>
                <c:pt idx="37">
                  <c:v>-17.645274567975083</c:v>
                </c:pt>
                <c:pt idx="38">
                  <c:v>-9.563923894834263</c:v>
                </c:pt>
                <c:pt idx="39">
                  <c:v>-3.0530576442277013</c:v>
                </c:pt>
                <c:pt idx="40">
                  <c:v>-0.5452897668802547</c:v>
                </c:pt>
                <c:pt idx="41">
                  <c:v>-3.053057644227905</c:v>
                </c:pt>
                <c:pt idx="42">
                  <c:v>-9.563923894834474</c:v>
                </c:pt>
                <c:pt idx="43">
                  <c:v>-17.64527456797518</c:v>
                </c:pt>
                <c:pt idx="44">
                  <c:v>-24.810016436854422</c:v>
                </c:pt>
                <c:pt idx="45">
                  <c:v>-29.656824977410135</c:v>
                </c:pt>
                <c:pt idx="46">
                  <c:v>-32.04329742813125</c:v>
                </c:pt>
                <c:pt idx="47">
                  <c:v>-32.36335219169826</c:v>
                </c:pt>
                <c:pt idx="48">
                  <c:v>-30.7077172209514</c:v>
                </c:pt>
                <c:pt idx="49">
                  <c:v>-26.71183510760545</c:v>
                </c:pt>
                <c:pt idx="50">
                  <c:v>-20.2334259482663</c:v>
                </c:pt>
                <c:pt idx="51">
                  <c:v>-12.218921700472103</c:v>
                </c:pt>
                <c:pt idx="52">
                  <c:v>-4.881156420445708</c:v>
                </c:pt>
                <c:pt idx="53">
                  <c:v>-0.8329972576352412</c:v>
                </c:pt>
                <c:pt idx="54">
                  <c:v>-1.6823543161867334</c:v>
                </c:pt>
                <c:pt idx="55">
                  <c:v>-7.083583124964264</c:v>
                </c:pt>
                <c:pt idx="56">
                  <c:v>-14.945148023576596</c:v>
                </c:pt>
                <c:pt idx="57">
                  <c:v>-22.639192187440443</c:v>
                </c:pt>
                <c:pt idx="58">
                  <c:v>-28.328018668517817</c:v>
                </c:pt>
                <c:pt idx="59">
                  <c:v>-31.4970017524441</c:v>
                </c:pt>
                <c:pt idx="60">
                  <c:v>-32.4686745413368</c:v>
                </c:pt>
                <c:pt idx="61">
                  <c:v>-31.49700175244434</c:v>
                </c:pt>
                <c:pt idx="62">
                  <c:v>-28.328018668518297</c:v>
                </c:pt>
                <c:pt idx="63">
                  <c:v>-22.639192187441207</c:v>
                </c:pt>
                <c:pt idx="64">
                  <c:v>-14.945148023577437</c:v>
                </c:pt>
                <c:pt idx="65">
                  <c:v>-7.083583124965042</c:v>
                </c:pt>
                <c:pt idx="66">
                  <c:v>-1.6823543161871308</c:v>
                </c:pt>
                <c:pt idx="67">
                  <c:v>-0.8329972576350518</c:v>
                </c:pt>
                <c:pt idx="68">
                  <c:v>-4.881156420445036</c:v>
                </c:pt>
                <c:pt idx="69">
                  <c:v>-12.21892170047133</c:v>
                </c:pt>
                <c:pt idx="70">
                  <c:v>-20.233425948265474</c:v>
                </c:pt>
                <c:pt idx="71">
                  <c:v>-26.711835107604827</c:v>
                </c:pt>
                <c:pt idx="72">
                  <c:v>-30.707717220951096</c:v>
                </c:pt>
                <c:pt idx="73">
                  <c:v>-32.3633521916982</c:v>
                </c:pt>
                <c:pt idx="74">
                  <c:v>-32.043297428131375</c:v>
                </c:pt>
                <c:pt idx="75">
                  <c:v>-29.656824977410526</c:v>
                </c:pt>
                <c:pt idx="76">
                  <c:v>-24.810016436855094</c:v>
                </c:pt>
                <c:pt idx="77">
                  <c:v>-17.645274567976177</c:v>
                </c:pt>
                <c:pt idx="78">
                  <c:v>-9.563923894835328</c:v>
                </c:pt>
                <c:pt idx="79">
                  <c:v>-3.0530576442283657</c:v>
                </c:pt>
                <c:pt idx="80">
                  <c:v>-0.5452897668802547</c:v>
                </c:pt>
              </c:numCache>
            </c:numRef>
          </c:yVal>
          <c:smooth val="1"/>
        </c:ser>
        <c:axId val="24687185"/>
        <c:axId val="20858074"/>
      </c:scatterChart>
      <c:valAx>
        <c:axId val="2468718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teta /pi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20858074"/>
        <c:crosses val="autoZero"/>
        <c:crossBetween val="midCat"/>
        <c:dispUnits/>
      </c:valAx>
      <c:valAx>
        <c:axId val="2085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4687185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 radial de la surface d'onde par rapport à la parabole (nm)</a:t>
            </a:r>
          </a:p>
        </c:rich>
      </c:tx>
      <c:layout>
        <c:manualLayout>
          <c:xMode val="factor"/>
          <c:yMode val="factor"/>
          <c:x val="0.01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8375"/>
          <c:w val="0.8835"/>
          <c:h val="0.768"/>
        </c:manualLayout>
      </c:layout>
      <c:scatterChart>
        <c:scatterStyle val="smoothMarker"/>
        <c:varyColors val="0"/>
        <c:ser>
          <c:idx val="0"/>
          <c:order val="0"/>
          <c:tx>
            <c:v>ecart surface d'onde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'deformation radiale'!$A$5:$A$45</c:f>
              <c:numCache>
                <c:ptCount val="41"/>
                <c:pt idx="0">
                  <c:v>-1.0000000000000002</c:v>
                </c:pt>
                <c:pt idx="1">
                  <c:v>-0.9500000000000003</c:v>
                </c:pt>
                <c:pt idx="2">
                  <c:v>-0.9000000000000002</c:v>
                </c:pt>
                <c:pt idx="3">
                  <c:v>-0.8500000000000002</c:v>
                </c:pt>
                <c:pt idx="4">
                  <c:v>-0.8000000000000002</c:v>
                </c:pt>
                <c:pt idx="5">
                  <c:v>-0.7500000000000001</c:v>
                </c:pt>
                <c:pt idx="6">
                  <c:v>-0.7000000000000001</c:v>
                </c:pt>
                <c:pt idx="7">
                  <c:v>-0.65</c:v>
                </c:pt>
                <c:pt idx="8">
                  <c:v>-0.6</c:v>
                </c:pt>
                <c:pt idx="9">
                  <c:v>-0.5499999999999999</c:v>
                </c:pt>
                <c:pt idx="10">
                  <c:v>-0.49999999999999994</c:v>
                </c:pt>
                <c:pt idx="11">
                  <c:v>-0.44999999999999996</c:v>
                </c:pt>
                <c:pt idx="12">
                  <c:v>-0.39999999999999997</c:v>
                </c:pt>
                <c:pt idx="13">
                  <c:v>-0.35</c:v>
                </c:pt>
                <c:pt idx="14">
                  <c:v>-0.3</c:v>
                </c:pt>
                <c:pt idx="15">
                  <c:v>-0.25</c:v>
                </c:pt>
                <c:pt idx="16">
                  <c:v>-0.2</c:v>
                </c:pt>
                <c:pt idx="17">
                  <c:v>-0.15000000000000002</c:v>
                </c:pt>
                <c:pt idx="18">
                  <c:v>-0.1</c:v>
                </c:pt>
                <c:pt idx="19">
                  <c:v>-0.05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0.15000000000000002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0.39999999999999997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0.5499999999999999</c:v>
                </c:pt>
                <c:pt idx="32">
                  <c:v>0.6</c:v>
                </c:pt>
                <c:pt idx="33">
                  <c:v>0.65</c:v>
                </c:pt>
                <c:pt idx="34">
                  <c:v>0.7000000000000001</c:v>
                </c:pt>
                <c:pt idx="35">
                  <c:v>0.7500000000000001</c:v>
                </c:pt>
                <c:pt idx="36">
                  <c:v>0.8000000000000002</c:v>
                </c:pt>
                <c:pt idx="37">
                  <c:v>0.8500000000000002</c:v>
                </c:pt>
                <c:pt idx="38">
                  <c:v>0.9000000000000002</c:v>
                </c:pt>
                <c:pt idx="39">
                  <c:v>0.9500000000000003</c:v>
                </c:pt>
                <c:pt idx="40">
                  <c:v>1.0000000000000002</c:v>
                </c:pt>
              </c:numCache>
            </c:numRef>
          </c:xVal>
          <c:yVal>
            <c:numRef>
              <c:f>'deformation radiale'!$M$5:$M$45</c:f>
              <c:numCache>
                <c:ptCount val="41"/>
                <c:pt idx="0">
                  <c:v>2.7518065160768754E-13</c:v>
                </c:pt>
                <c:pt idx="1">
                  <c:v>-1.9232301503542617</c:v>
                </c:pt>
                <c:pt idx="2">
                  <c:v>-2.6474092119026724</c:v>
                </c:pt>
                <c:pt idx="3">
                  <c:v>-2.5228994842811936</c:v>
                </c:pt>
                <c:pt idx="4">
                  <c:v>-1.8619260546063332</c:v>
                </c:pt>
                <c:pt idx="5">
                  <c:v>-0.9367768061798593</c:v>
                </c:pt>
                <c:pt idx="6">
                  <c:v>0.022479518453161207</c:v>
                </c:pt>
                <c:pt idx="7">
                  <c:v>0.8309416966158778</c:v>
                </c:pt>
                <c:pt idx="8">
                  <c:v>1.352769590271169</c:v>
                </c:pt>
                <c:pt idx="9">
                  <c:v>1.5064577486552655</c:v>
                </c:pt>
                <c:pt idx="10">
                  <c:v>1.2721929714273883</c:v>
                </c:pt>
                <c:pt idx="11">
                  <c:v>0.7024854634698763</c:v>
                </c:pt>
                <c:pt idx="12">
                  <c:v>-0.061810996890426795</c:v>
                </c:pt>
                <c:pt idx="13">
                  <c:v>-0.766091129968588</c:v>
                </c:pt>
                <c:pt idx="14">
                  <c:v>-1.0919321502820267</c:v>
                </c:pt>
                <c:pt idx="15">
                  <c:v>-1.0692338794781042</c:v>
                </c:pt>
                <c:pt idx="16">
                  <c:v>-0.8471331869266407</c:v>
                </c:pt>
                <c:pt idx="17">
                  <c:v>-0.5477477006727849</c:v>
                </c:pt>
                <c:pt idx="18">
                  <c:v>-0.26605779808525076</c:v>
                </c:pt>
                <c:pt idx="19">
                  <c:v>-0.06990660585581843</c:v>
                </c:pt>
                <c:pt idx="20">
                  <c:v>0</c:v>
                </c:pt>
                <c:pt idx="21">
                  <c:v>-0.06990660585581843</c:v>
                </c:pt>
                <c:pt idx="22">
                  <c:v>-0.26605779808525076</c:v>
                </c:pt>
                <c:pt idx="23">
                  <c:v>-0.5477477006727849</c:v>
                </c:pt>
                <c:pt idx="24">
                  <c:v>-0.8471331869266407</c:v>
                </c:pt>
                <c:pt idx="25">
                  <c:v>-1.0692338794781042</c:v>
                </c:pt>
                <c:pt idx="26">
                  <c:v>-1.0919321502820267</c:v>
                </c:pt>
                <c:pt idx="27">
                  <c:v>-0.766091129968588</c:v>
                </c:pt>
                <c:pt idx="28">
                  <c:v>-0.061810996890426795</c:v>
                </c:pt>
                <c:pt idx="29">
                  <c:v>0.7024854634698763</c:v>
                </c:pt>
                <c:pt idx="30">
                  <c:v>1.2721929714273883</c:v>
                </c:pt>
                <c:pt idx="31">
                  <c:v>1.5064577486552655</c:v>
                </c:pt>
                <c:pt idx="32">
                  <c:v>1.352769590271169</c:v>
                </c:pt>
                <c:pt idx="33">
                  <c:v>0.8309416966158778</c:v>
                </c:pt>
                <c:pt idx="34">
                  <c:v>0.022479518453161207</c:v>
                </c:pt>
                <c:pt idx="35">
                  <c:v>-0.9367768061798593</c:v>
                </c:pt>
                <c:pt idx="36">
                  <c:v>-1.8619260546063332</c:v>
                </c:pt>
                <c:pt idx="37">
                  <c:v>-2.5228994842811936</c:v>
                </c:pt>
                <c:pt idx="38">
                  <c:v>-2.6474092119026724</c:v>
                </c:pt>
                <c:pt idx="39">
                  <c:v>-1.9232301503542617</c:v>
                </c:pt>
                <c:pt idx="40">
                  <c:v>2.7518065160768754E-13</c:v>
                </c:pt>
              </c:numCache>
            </c:numRef>
          </c:yVal>
          <c:smooth val="1"/>
        </c:ser>
        <c:axId val="53504939"/>
        <c:axId val="11782404"/>
      </c:scatterChart>
      <c:valAx>
        <c:axId val="53504939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r/R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782404"/>
        <c:crosses val="autoZero"/>
        <c:crossBetween val="midCat"/>
        <c:dispUnits/>
      </c:valAx>
      <c:valAx>
        <c:axId val="11782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ecart parabole en nm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04939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par rapport à la parabole</a:t>
            </a:r>
          </a:p>
        </c:rich>
      </c:tx>
      <c:layout>
        <c:manualLayout>
          <c:xMode val="factor"/>
          <c:yMode val="factor"/>
          <c:x val="-0.0157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625"/>
          <c:w val="0.806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v>profil miroir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'deformation radiale'!$A$5:$A$45</c:f>
              <c:numCache>
                <c:ptCount val="41"/>
                <c:pt idx="0">
                  <c:v>-1.0000000000000002</c:v>
                </c:pt>
                <c:pt idx="1">
                  <c:v>-0.9500000000000003</c:v>
                </c:pt>
                <c:pt idx="2">
                  <c:v>-0.9000000000000002</c:v>
                </c:pt>
                <c:pt idx="3">
                  <c:v>-0.8500000000000002</c:v>
                </c:pt>
                <c:pt idx="4">
                  <c:v>-0.8000000000000002</c:v>
                </c:pt>
                <c:pt idx="5">
                  <c:v>-0.7500000000000001</c:v>
                </c:pt>
                <c:pt idx="6">
                  <c:v>-0.7000000000000001</c:v>
                </c:pt>
                <c:pt idx="7">
                  <c:v>-0.65</c:v>
                </c:pt>
                <c:pt idx="8">
                  <c:v>-0.6</c:v>
                </c:pt>
                <c:pt idx="9">
                  <c:v>-0.5499999999999999</c:v>
                </c:pt>
                <c:pt idx="10">
                  <c:v>-0.49999999999999994</c:v>
                </c:pt>
                <c:pt idx="11">
                  <c:v>-0.44999999999999996</c:v>
                </c:pt>
                <c:pt idx="12">
                  <c:v>-0.39999999999999997</c:v>
                </c:pt>
                <c:pt idx="13">
                  <c:v>-0.35</c:v>
                </c:pt>
                <c:pt idx="14">
                  <c:v>-0.3</c:v>
                </c:pt>
                <c:pt idx="15">
                  <c:v>-0.25</c:v>
                </c:pt>
                <c:pt idx="16">
                  <c:v>-0.2</c:v>
                </c:pt>
                <c:pt idx="17">
                  <c:v>-0.15000000000000002</c:v>
                </c:pt>
                <c:pt idx="18">
                  <c:v>-0.1</c:v>
                </c:pt>
                <c:pt idx="19">
                  <c:v>-0.05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0.15000000000000002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0.39999999999999997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0.5499999999999999</c:v>
                </c:pt>
                <c:pt idx="32">
                  <c:v>0.6</c:v>
                </c:pt>
                <c:pt idx="33">
                  <c:v>0.65</c:v>
                </c:pt>
                <c:pt idx="34">
                  <c:v>0.7000000000000001</c:v>
                </c:pt>
                <c:pt idx="35">
                  <c:v>0.7500000000000001</c:v>
                </c:pt>
                <c:pt idx="36">
                  <c:v>0.8000000000000002</c:v>
                </c:pt>
                <c:pt idx="37">
                  <c:v>0.8500000000000002</c:v>
                </c:pt>
                <c:pt idx="38">
                  <c:v>0.9000000000000002</c:v>
                </c:pt>
                <c:pt idx="39">
                  <c:v>0.9500000000000003</c:v>
                </c:pt>
                <c:pt idx="40">
                  <c:v>1.0000000000000002</c:v>
                </c:pt>
              </c:numCache>
            </c:numRef>
          </c:xVal>
          <c:yVal>
            <c:numRef>
              <c:f>'deformation radiale'!$J$5:$J$45</c:f>
              <c:numCache>
                <c:ptCount val="41"/>
                <c:pt idx="0">
                  <c:v>6.33205402116189E-17</c:v>
                </c:pt>
                <c:pt idx="1">
                  <c:v>0.010199878737801496</c:v>
                </c:pt>
                <c:pt idx="2">
                  <c:v>0.020355296718398804</c:v>
                </c:pt>
                <c:pt idx="3">
                  <c:v>0.030318717516499873</c:v>
                </c:pt>
                <c:pt idx="4">
                  <c:v>0.03995826554141133</c:v>
                </c:pt>
                <c:pt idx="5">
                  <c:v>0.04915844126611059</c:v>
                </c:pt>
                <c:pt idx="6">
                  <c:v>0.057821027169525634</c:v>
                </c:pt>
                <c:pt idx="7">
                  <c:v>0.06586625718007387</c:v>
                </c:pt>
                <c:pt idx="8">
                  <c:v>0.07323435951134694</c:v>
                </c:pt>
                <c:pt idx="9">
                  <c:v>0.07988764420009856</c:v>
                </c:pt>
                <c:pt idx="10">
                  <c:v>0.08581341245669132</c:v>
                </c:pt>
                <c:pt idx="11">
                  <c:v>0.09102815581069351</c:v>
                </c:pt>
                <c:pt idx="12">
                  <c:v>0.09558387664482662</c:v>
                </c:pt>
                <c:pt idx="13">
                  <c:v>0.09957810099949427</c:v>
                </c:pt>
                <c:pt idx="14">
                  <c:v>0.10314430022486457</c:v>
                </c:pt>
                <c:pt idx="15">
                  <c:v>0.10628546894427139</c:v>
                </c:pt>
                <c:pt idx="16">
                  <c:v>0.10894002048627018</c:v>
                </c:pt>
                <c:pt idx="17">
                  <c:v>0.11105725220609772</c:v>
                </c:pt>
                <c:pt idx="18">
                  <c:v>0.11259772871338262</c:v>
                </c:pt>
                <c:pt idx="19">
                  <c:v>0.11353328187214555</c:v>
                </c:pt>
                <c:pt idx="20">
                  <c:v>0.11384701080079844</c:v>
                </c:pt>
                <c:pt idx="21">
                  <c:v>0.11353328187214555</c:v>
                </c:pt>
                <c:pt idx="22">
                  <c:v>0.11259772871338262</c:v>
                </c:pt>
                <c:pt idx="23">
                  <c:v>0.11105725220609772</c:v>
                </c:pt>
                <c:pt idx="24">
                  <c:v>0.10894002048627018</c:v>
                </c:pt>
                <c:pt idx="25">
                  <c:v>0.10628546894427139</c:v>
                </c:pt>
                <c:pt idx="26">
                  <c:v>0.10314430022486457</c:v>
                </c:pt>
                <c:pt idx="27">
                  <c:v>0.09957810099949427</c:v>
                </c:pt>
                <c:pt idx="28">
                  <c:v>0.09558387664482662</c:v>
                </c:pt>
                <c:pt idx="29">
                  <c:v>0.09102815581069351</c:v>
                </c:pt>
                <c:pt idx="30">
                  <c:v>0.08581341245669132</c:v>
                </c:pt>
                <c:pt idx="31">
                  <c:v>0.07988764420009856</c:v>
                </c:pt>
                <c:pt idx="32">
                  <c:v>0.07323435951134694</c:v>
                </c:pt>
                <c:pt idx="33">
                  <c:v>0.06586625718007387</c:v>
                </c:pt>
                <c:pt idx="34">
                  <c:v>0.057821027169525634</c:v>
                </c:pt>
                <c:pt idx="35">
                  <c:v>0.04915844126611059</c:v>
                </c:pt>
                <c:pt idx="36">
                  <c:v>0.03995826554141133</c:v>
                </c:pt>
                <c:pt idx="37">
                  <c:v>0.030318717516499873</c:v>
                </c:pt>
                <c:pt idx="38">
                  <c:v>0.020355296718398804</c:v>
                </c:pt>
                <c:pt idx="39">
                  <c:v>0.010199878737801496</c:v>
                </c:pt>
                <c:pt idx="40">
                  <c:v>6.33205402116189E-17</c:v>
                </c:pt>
              </c:numCache>
            </c:numRef>
          </c:yVal>
          <c:smooth val="0"/>
        </c:ser>
        <c:ser>
          <c:idx val="1"/>
          <c:order val="1"/>
          <c:tx>
            <c:v>parabole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'deformation radiale'!$A$5:$A$45</c:f>
              <c:numCache>
                <c:ptCount val="41"/>
                <c:pt idx="0">
                  <c:v>-1.0000000000000002</c:v>
                </c:pt>
                <c:pt idx="1">
                  <c:v>-0.9500000000000003</c:v>
                </c:pt>
                <c:pt idx="2">
                  <c:v>-0.9000000000000002</c:v>
                </c:pt>
                <c:pt idx="3">
                  <c:v>-0.8500000000000002</c:v>
                </c:pt>
                <c:pt idx="4">
                  <c:v>-0.8000000000000002</c:v>
                </c:pt>
                <c:pt idx="5">
                  <c:v>-0.7500000000000001</c:v>
                </c:pt>
                <c:pt idx="6">
                  <c:v>-0.7000000000000001</c:v>
                </c:pt>
                <c:pt idx="7">
                  <c:v>-0.65</c:v>
                </c:pt>
                <c:pt idx="8">
                  <c:v>-0.6</c:v>
                </c:pt>
                <c:pt idx="9">
                  <c:v>-0.5499999999999999</c:v>
                </c:pt>
                <c:pt idx="10">
                  <c:v>-0.49999999999999994</c:v>
                </c:pt>
                <c:pt idx="11">
                  <c:v>-0.44999999999999996</c:v>
                </c:pt>
                <c:pt idx="12">
                  <c:v>-0.39999999999999997</c:v>
                </c:pt>
                <c:pt idx="13">
                  <c:v>-0.35</c:v>
                </c:pt>
                <c:pt idx="14">
                  <c:v>-0.3</c:v>
                </c:pt>
                <c:pt idx="15">
                  <c:v>-0.25</c:v>
                </c:pt>
                <c:pt idx="16">
                  <c:v>-0.2</c:v>
                </c:pt>
                <c:pt idx="17">
                  <c:v>-0.15000000000000002</c:v>
                </c:pt>
                <c:pt idx="18">
                  <c:v>-0.1</c:v>
                </c:pt>
                <c:pt idx="19">
                  <c:v>-0.05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0.15000000000000002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0.39999999999999997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0.5499999999999999</c:v>
                </c:pt>
                <c:pt idx="32">
                  <c:v>0.6</c:v>
                </c:pt>
                <c:pt idx="33">
                  <c:v>0.65</c:v>
                </c:pt>
                <c:pt idx="34">
                  <c:v>0.7000000000000001</c:v>
                </c:pt>
                <c:pt idx="35">
                  <c:v>0.7500000000000001</c:v>
                </c:pt>
                <c:pt idx="36">
                  <c:v>0.8000000000000002</c:v>
                </c:pt>
                <c:pt idx="37">
                  <c:v>0.8500000000000002</c:v>
                </c:pt>
                <c:pt idx="38">
                  <c:v>0.9000000000000002</c:v>
                </c:pt>
                <c:pt idx="39">
                  <c:v>0.9500000000000003</c:v>
                </c:pt>
                <c:pt idx="40">
                  <c:v>1.0000000000000002</c:v>
                </c:pt>
              </c:numCache>
            </c:numRef>
          </c:xVal>
          <c:yVal>
            <c:numRef>
              <c:f>'deformation radiale'!$K$5:$K$45</c:f>
              <c:numCache>
                <c:ptCount val="41"/>
                <c:pt idx="0">
                  <c:v>-5.0558229070318124E-17</c:v>
                </c:pt>
                <c:pt idx="1">
                  <c:v>0.011100083553077763</c:v>
                </c:pt>
                <c:pt idx="2">
                  <c:v>0.021630932052151674</c:v>
                </c:pt>
                <c:pt idx="3">
                  <c:v>0.03159254549722153</c:v>
                </c:pt>
                <c:pt idx="4">
                  <c:v>0.04098492388828741</c:v>
                </c:pt>
                <c:pt idx="5">
                  <c:v>0.04980806722534929</c:v>
                </c:pt>
                <c:pt idx="6">
                  <c:v>0.05806197550840719</c:v>
                </c:pt>
                <c:pt idx="7">
                  <c:v>0.06574664873746108</c:v>
                </c:pt>
                <c:pt idx="8">
                  <c:v>0.072862086912511</c:v>
                </c:pt>
                <c:pt idx="9">
                  <c:v>0.07940829003355691</c:v>
                </c:pt>
                <c:pt idx="10">
                  <c:v>0.08538525810059884</c:v>
                </c:pt>
                <c:pt idx="11">
                  <c:v>0.09079299111363676</c:v>
                </c:pt>
                <c:pt idx="12">
                  <c:v>0.0956314890726707</c:v>
                </c:pt>
                <c:pt idx="13">
                  <c:v>0.09990075197770064</c:v>
                </c:pt>
                <c:pt idx="14">
                  <c:v>0.10360077982872658</c:v>
                </c:pt>
                <c:pt idx="15">
                  <c:v>0.10673157262574853</c:v>
                </c:pt>
                <c:pt idx="16">
                  <c:v>0.10929313036876649</c:v>
                </c:pt>
                <c:pt idx="17">
                  <c:v>0.11128545305778048</c:v>
                </c:pt>
                <c:pt idx="18">
                  <c:v>0.11270854069279046</c:v>
                </c:pt>
                <c:pt idx="19">
                  <c:v>0.11356239327379646</c:v>
                </c:pt>
                <c:pt idx="20">
                  <c:v>0.11384701080079844</c:v>
                </c:pt>
                <c:pt idx="21">
                  <c:v>0.11356239327379646</c:v>
                </c:pt>
                <c:pt idx="22">
                  <c:v>0.11270854069279046</c:v>
                </c:pt>
                <c:pt idx="23">
                  <c:v>0.11128545305778048</c:v>
                </c:pt>
                <c:pt idx="24">
                  <c:v>0.10929313036876649</c:v>
                </c:pt>
                <c:pt idx="25">
                  <c:v>0.10673157262574853</c:v>
                </c:pt>
                <c:pt idx="26">
                  <c:v>0.10360077982872658</c:v>
                </c:pt>
                <c:pt idx="27">
                  <c:v>0.09990075197770064</c:v>
                </c:pt>
                <c:pt idx="28">
                  <c:v>0.0956314890726707</c:v>
                </c:pt>
                <c:pt idx="29">
                  <c:v>0.09079299111363676</c:v>
                </c:pt>
                <c:pt idx="30">
                  <c:v>0.08538525810059884</c:v>
                </c:pt>
                <c:pt idx="31">
                  <c:v>0.07940829003355691</c:v>
                </c:pt>
                <c:pt idx="32">
                  <c:v>0.072862086912511</c:v>
                </c:pt>
                <c:pt idx="33">
                  <c:v>0.06574664873746108</c:v>
                </c:pt>
                <c:pt idx="34">
                  <c:v>0.05806197550840719</c:v>
                </c:pt>
                <c:pt idx="35">
                  <c:v>0.04980806722534929</c:v>
                </c:pt>
                <c:pt idx="36">
                  <c:v>0.04098492388828741</c:v>
                </c:pt>
                <c:pt idx="37">
                  <c:v>0.03159254549722153</c:v>
                </c:pt>
                <c:pt idx="38">
                  <c:v>0.021630932052151674</c:v>
                </c:pt>
                <c:pt idx="39">
                  <c:v>0.011100083553077763</c:v>
                </c:pt>
                <c:pt idx="40">
                  <c:v>-5.0558229070318124E-17</c:v>
                </c:pt>
              </c:numCache>
            </c:numRef>
          </c:yVal>
          <c:smooth val="1"/>
        </c:ser>
        <c:axId val="38932773"/>
        <c:axId val="14850638"/>
      </c:scatterChart>
      <c:valAx>
        <c:axId val="38932773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r/R</a:t>
                </a:r>
              </a:p>
            </c:rich>
          </c:tx>
          <c:layout>
            <c:manualLayout>
              <c:xMode val="factor"/>
              <c:yMode val="factor"/>
              <c:x val="0.00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0638"/>
        <c:crosses val="autoZero"/>
        <c:crossBetween val="midCat"/>
        <c:dispUnits/>
      </c:valAx>
      <c:valAx>
        <c:axId val="148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µm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2773"/>
        <c:crossesAt val="-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14075"/>
          <c:w val="0.101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écart de la surface d'onde par rapport à la parabole (</a:t>
            </a:r>
            <a:r>
              <a:rPr lang="en-US" cap="none" sz="1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λ</a:t>
            </a:r>
            <a:r>
              <a:rPr lang="en-US" cap="none" sz="1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/4=0,25)</a:t>
            </a:r>
          </a:p>
        </c:rich>
      </c:tx>
      <c:layout>
        <c:manualLayout>
          <c:xMode val="factor"/>
          <c:yMode val="factor"/>
          <c:x val="0.01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6"/>
          <c:w val="0.89925"/>
          <c:h val="0.843"/>
        </c:manualLayout>
      </c:layout>
      <c:scatterChart>
        <c:scatterStyle val="smoothMarker"/>
        <c:varyColors val="0"/>
        <c:ser>
          <c:idx val="0"/>
          <c:order val="0"/>
          <c:tx>
            <c:v>ecart surface d'onde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'deformation radiale'!$A$5:$A$45</c:f>
              <c:numCache>
                <c:ptCount val="41"/>
                <c:pt idx="0">
                  <c:v>-1.0000000000000002</c:v>
                </c:pt>
                <c:pt idx="1">
                  <c:v>-0.9500000000000003</c:v>
                </c:pt>
                <c:pt idx="2">
                  <c:v>-0.9000000000000002</c:v>
                </c:pt>
                <c:pt idx="3">
                  <c:v>-0.8500000000000002</c:v>
                </c:pt>
                <c:pt idx="4">
                  <c:v>-0.8000000000000002</c:v>
                </c:pt>
                <c:pt idx="5">
                  <c:v>-0.7500000000000001</c:v>
                </c:pt>
                <c:pt idx="6">
                  <c:v>-0.7000000000000001</c:v>
                </c:pt>
                <c:pt idx="7">
                  <c:v>-0.65</c:v>
                </c:pt>
                <c:pt idx="8">
                  <c:v>-0.6</c:v>
                </c:pt>
                <c:pt idx="9">
                  <c:v>-0.5499999999999999</c:v>
                </c:pt>
                <c:pt idx="10">
                  <c:v>-0.49999999999999994</c:v>
                </c:pt>
                <c:pt idx="11">
                  <c:v>-0.44999999999999996</c:v>
                </c:pt>
                <c:pt idx="12">
                  <c:v>-0.39999999999999997</c:v>
                </c:pt>
                <c:pt idx="13">
                  <c:v>-0.35</c:v>
                </c:pt>
                <c:pt idx="14">
                  <c:v>-0.3</c:v>
                </c:pt>
                <c:pt idx="15">
                  <c:v>-0.25</c:v>
                </c:pt>
                <c:pt idx="16">
                  <c:v>-0.2</c:v>
                </c:pt>
                <c:pt idx="17">
                  <c:v>-0.15000000000000002</c:v>
                </c:pt>
                <c:pt idx="18">
                  <c:v>-0.1</c:v>
                </c:pt>
                <c:pt idx="19">
                  <c:v>-0.05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0.15000000000000002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0.39999999999999997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0.5499999999999999</c:v>
                </c:pt>
                <c:pt idx="32">
                  <c:v>0.6</c:v>
                </c:pt>
                <c:pt idx="33">
                  <c:v>0.65</c:v>
                </c:pt>
                <c:pt idx="34">
                  <c:v>0.7000000000000001</c:v>
                </c:pt>
                <c:pt idx="35">
                  <c:v>0.7500000000000001</c:v>
                </c:pt>
                <c:pt idx="36">
                  <c:v>0.8000000000000002</c:v>
                </c:pt>
                <c:pt idx="37">
                  <c:v>0.8500000000000002</c:v>
                </c:pt>
                <c:pt idx="38">
                  <c:v>0.9000000000000002</c:v>
                </c:pt>
                <c:pt idx="39">
                  <c:v>0.9500000000000003</c:v>
                </c:pt>
                <c:pt idx="40">
                  <c:v>1.0000000000000002</c:v>
                </c:pt>
              </c:numCache>
            </c:numRef>
          </c:xVal>
          <c:yVal>
            <c:numRef>
              <c:f>'deformation radiale'!$M$5:$M$45</c:f>
              <c:numCache>
                <c:ptCount val="41"/>
                <c:pt idx="0">
                  <c:v>2.2775753856387405E-13</c:v>
                </c:pt>
                <c:pt idx="1">
                  <c:v>-1.800409630552533</c:v>
                </c:pt>
                <c:pt idx="2">
                  <c:v>-2.5512706675057393</c:v>
                </c:pt>
                <c:pt idx="3">
                  <c:v>-2.5476559614433096</c:v>
                </c:pt>
                <c:pt idx="4">
                  <c:v>-2.0533166937521523</c:v>
                </c:pt>
                <c:pt idx="5">
                  <c:v>-1.2992519184774065</c:v>
                </c:pt>
                <c:pt idx="6">
                  <c:v>-0.48189667776311895</c:v>
                </c:pt>
                <c:pt idx="7">
                  <c:v>0.23921688522557383</c:v>
                </c:pt>
                <c:pt idx="8">
                  <c:v>0.7445451976718642</c:v>
                </c:pt>
                <c:pt idx="9">
                  <c:v>0.9587083330832857</c:v>
                </c:pt>
                <c:pt idx="10">
                  <c:v>0.85630871218495</c:v>
                </c:pt>
                <c:pt idx="11">
                  <c:v>0.47032939411351116</c:v>
                </c:pt>
                <c:pt idx="12">
                  <c:v>-0.09522485568816408</c:v>
                </c:pt>
                <c:pt idx="13">
                  <c:v>-0.6453019564127416</c:v>
                </c:pt>
                <c:pt idx="14">
                  <c:v>-0.9129592077240234</c:v>
                </c:pt>
                <c:pt idx="15">
                  <c:v>-0.8922073629542837</c:v>
                </c:pt>
                <c:pt idx="16">
                  <c:v>-0.7062197649926327</c:v>
                </c:pt>
                <c:pt idx="17">
                  <c:v>-0.45640170336552766</c:v>
                </c:pt>
                <c:pt idx="18">
                  <c:v>-0.22162395881566987</c:v>
                </c:pt>
                <c:pt idx="19">
                  <c:v>-0.05822280330181062</c:v>
                </c:pt>
                <c:pt idx="20">
                  <c:v>0</c:v>
                </c:pt>
                <c:pt idx="21">
                  <c:v>-0.05822280330181062</c:v>
                </c:pt>
                <c:pt idx="22">
                  <c:v>-0.22162395881566987</c:v>
                </c:pt>
                <c:pt idx="23">
                  <c:v>-0.45640170336552766</c:v>
                </c:pt>
                <c:pt idx="24">
                  <c:v>-0.7062197649926327</c:v>
                </c:pt>
                <c:pt idx="25">
                  <c:v>-0.8922073629542837</c:v>
                </c:pt>
                <c:pt idx="26">
                  <c:v>-0.9129592077240234</c:v>
                </c:pt>
                <c:pt idx="27">
                  <c:v>-0.6453019564127416</c:v>
                </c:pt>
                <c:pt idx="28">
                  <c:v>-0.09522485568816408</c:v>
                </c:pt>
                <c:pt idx="29">
                  <c:v>0.47032939411351116</c:v>
                </c:pt>
                <c:pt idx="30">
                  <c:v>0.85630871218495</c:v>
                </c:pt>
                <c:pt idx="31">
                  <c:v>0.9587083330832857</c:v>
                </c:pt>
                <c:pt idx="32">
                  <c:v>0.7445451976718642</c:v>
                </c:pt>
                <c:pt idx="33">
                  <c:v>0.23921688522557383</c:v>
                </c:pt>
                <c:pt idx="34">
                  <c:v>-0.48189667776311895</c:v>
                </c:pt>
                <c:pt idx="35">
                  <c:v>-1.2992519184774065</c:v>
                </c:pt>
                <c:pt idx="36">
                  <c:v>-2.0533166937521523</c:v>
                </c:pt>
                <c:pt idx="37">
                  <c:v>-2.5476559614433096</c:v>
                </c:pt>
                <c:pt idx="38">
                  <c:v>-2.5512706675057393</c:v>
                </c:pt>
                <c:pt idx="39">
                  <c:v>-1.800409630552533</c:v>
                </c:pt>
                <c:pt idx="40">
                  <c:v>2.2775753856387405E-13</c:v>
                </c:pt>
              </c:numCache>
            </c:numRef>
          </c:yVal>
          <c:smooth val="1"/>
        </c:ser>
        <c:axId val="66546879"/>
        <c:axId val="62051000"/>
      </c:scatterChart>
      <c:valAx>
        <c:axId val="66546879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r/R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051000"/>
        <c:crosses val="autoZero"/>
        <c:crossBetween val="midCat"/>
        <c:dispUnits/>
      </c:valAx>
      <c:valAx>
        <c:axId val="62051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ecart parabole en lambda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46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deformation bord du miroir (1/2 surface d'onde)</a:t>
            </a:r>
          </a:p>
        </c:rich>
      </c:tx>
      <c:layout>
        <c:manualLayout>
          <c:xMode val="factor"/>
          <c:yMode val="factor"/>
          <c:x val="-0.00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475"/>
          <c:w val="0.88"/>
          <c:h val="0.8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'deformation en teta'!$M$26:$CO$26</c:f>
              <c:numCache/>
            </c:numRef>
          </c:xVal>
          <c:yVal>
            <c:numRef>
              <c:f>'deformation en teta'!$M$48:$CO$48</c:f>
              <c:numCache/>
            </c:numRef>
          </c:yVal>
          <c:smooth val="1"/>
        </c:ser>
        <c:axId val="21588089"/>
        <c:axId val="60075074"/>
      </c:scatterChart>
      <c:valAx>
        <c:axId val="2158808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teta /pi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60075074"/>
        <c:crosses val="autoZero"/>
        <c:crossBetween val="midCat"/>
        <c:dispUnits/>
      </c:valAx>
      <c:valAx>
        <c:axId val="60075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880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deformation surface suivant r</a:t>
            </a:r>
          </a:p>
        </c:rich>
      </c:tx>
      <c:layout>
        <c:manualLayout>
          <c:xMode val="factor"/>
          <c:yMode val="factor"/>
          <c:x val="-0.00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7225"/>
          <c:w val="0.83975"/>
          <c:h val="0.85075"/>
        </c:manualLayout>
      </c:layout>
      <c:scatterChart>
        <c:scatterStyle val="lineMarker"/>
        <c:varyColors val="0"/>
        <c:ser>
          <c:idx val="0"/>
          <c:order val="0"/>
          <c:tx>
            <c:v>teta=0°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'deformation en teta'!$C$28:$C$48</c:f>
              <c:numCache/>
            </c:numRef>
          </c:xVal>
          <c:yVal>
            <c:numRef>
              <c:f>'deformation en teta'!$M$28:$M$48</c:f>
              <c:numCache/>
            </c:numRef>
          </c:yVal>
          <c:smooth val="1"/>
        </c:ser>
        <c:ser>
          <c:idx val="1"/>
          <c:order val="1"/>
          <c:tx>
            <c:v>teta=90°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'deformation en teta'!$C$28:$C$48</c:f>
              <c:numCache/>
            </c:numRef>
          </c:xVal>
          <c:yVal>
            <c:numRef>
              <c:f>'deformation en teta'!$AG$28:$AG$48</c:f>
              <c:numCache/>
            </c:numRef>
          </c:yVal>
          <c:smooth val="1"/>
        </c:ser>
        <c:ser>
          <c:idx val="2"/>
          <c:order val="2"/>
          <c:tx>
            <c:v>teta 60°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'deformation en teta'!$C$28:$C$48</c:f>
              <c:numCache/>
            </c:numRef>
          </c:xVal>
          <c:yVal>
            <c:numRef>
              <c:f>'deformation en teta'!$AA$28:$AA$48</c:f>
              <c:numCache/>
            </c:numRef>
          </c:yVal>
          <c:smooth val="0"/>
        </c:ser>
        <c:axId val="3804755"/>
        <c:axId val="34242796"/>
      </c:scatterChart>
      <c:valAx>
        <c:axId val="380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r/a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34242796"/>
        <c:crosses val="autoZero"/>
        <c:crossBetween val="midCat"/>
        <c:dispUnits/>
      </c:valAx>
      <c:valAx>
        <c:axId val="34242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8047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209550</xdr:colOff>
      <xdr:row>17</xdr:row>
      <xdr:rowOff>104775</xdr:rowOff>
    </xdr:from>
    <xdr:to>
      <xdr:col>18</xdr:col>
      <xdr:colOff>647700</xdr:colOff>
      <xdr:row>37</xdr:row>
      <xdr:rowOff>114300</xdr:rowOff>
    </xdr:to>
    <xdr:graphicFrame>
      <xdr:nvGraphicFramePr>
        <xdr:cNvPr id="1" name="Graphique 7"/>
        <xdr:cNvGraphicFramePr/>
      </xdr:nvGraphicFramePr>
      <xdr:xfrm>
        <a:off x="11525250" y="3390900"/>
        <a:ext cx="50387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752475</xdr:colOff>
      <xdr:row>41</xdr:row>
      <xdr:rowOff>38100</xdr:rowOff>
    </xdr:from>
    <xdr:to>
      <xdr:col>21</xdr:col>
      <xdr:colOff>457200</xdr:colOff>
      <xdr:row>59</xdr:row>
      <xdr:rowOff>28575</xdr:rowOff>
    </xdr:to>
    <xdr:graphicFrame>
      <xdr:nvGraphicFramePr>
        <xdr:cNvPr id="2" name="Chart 15"/>
        <xdr:cNvGraphicFramePr/>
      </xdr:nvGraphicFramePr>
      <xdr:xfrm>
        <a:off x="12068175" y="7286625"/>
        <a:ext cx="65913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619125</xdr:colOff>
      <xdr:row>16</xdr:row>
      <xdr:rowOff>38100</xdr:rowOff>
    </xdr:from>
    <xdr:to>
      <xdr:col>26</xdr:col>
      <xdr:colOff>523875</xdr:colOff>
      <xdr:row>37</xdr:row>
      <xdr:rowOff>38100</xdr:rowOff>
    </xdr:to>
    <xdr:graphicFrame>
      <xdr:nvGraphicFramePr>
        <xdr:cNvPr id="3" name="Chart 16"/>
        <xdr:cNvGraphicFramePr/>
      </xdr:nvGraphicFramePr>
      <xdr:xfrm>
        <a:off x="17297400" y="3162300"/>
        <a:ext cx="523875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49</xdr:row>
      <xdr:rowOff>47625</xdr:rowOff>
    </xdr:from>
    <xdr:to>
      <xdr:col>20</xdr:col>
      <xdr:colOff>95250</xdr:colOff>
      <xdr:row>68</xdr:row>
      <xdr:rowOff>66675</xdr:rowOff>
    </xdr:to>
    <xdr:graphicFrame>
      <xdr:nvGraphicFramePr>
        <xdr:cNvPr id="1" name="Chart 38"/>
        <xdr:cNvGraphicFramePr/>
      </xdr:nvGraphicFramePr>
      <xdr:xfrm>
        <a:off x="8982075" y="8153400"/>
        <a:ext cx="69627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49</xdr:row>
      <xdr:rowOff>47625</xdr:rowOff>
    </xdr:from>
    <xdr:to>
      <xdr:col>10</xdr:col>
      <xdr:colOff>152400</xdr:colOff>
      <xdr:row>68</xdr:row>
      <xdr:rowOff>114300</xdr:rowOff>
    </xdr:to>
    <xdr:graphicFrame>
      <xdr:nvGraphicFramePr>
        <xdr:cNvPr id="2" name="Chart 39"/>
        <xdr:cNvGraphicFramePr/>
      </xdr:nvGraphicFramePr>
      <xdr:xfrm>
        <a:off x="2085975" y="8153400"/>
        <a:ext cx="62388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4"/>
  <sheetViews>
    <sheetView zoomScalePageLayoutView="0" workbookViewId="0" topLeftCell="F19">
      <selection activeCell="G45" sqref="G45"/>
    </sheetView>
  </sheetViews>
  <sheetFormatPr defaultColWidth="11.421875" defaultRowHeight="12.75"/>
  <cols>
    <col min="1" max="1" width="3.7109375" style="0" customWidth="1"/>
    <col min="2" max="2" width="7.140625" style="0" customWidth="1"/>
    <col min="3" max="3" width="24.7109375" style="0" customWidth="1"/>
    <col min="5" max="5" width="15.57421875" style="0" customWidth="1"/>
    <col min="6" max="6" width="12.28125" style="0" bestFit="1" customWidth="1"/>
    <col min="7" max="7" width="15.00390625" style="0" customWidth="1"/>
    <col min="8" max="8" width="15.28125" style="0" customWidth="1"/>
    <col min="9" max="9" width="16.28125" style="0" customWidth="1"/>
    <col min="11" max="11" width="12.28125" style="0" bestFit="1" customWidth="1"/>
    <col min="13" max="13" width="13.140625" style="0" customWidth="1"/>
    <col min="16" max="16" width="23.28125" style="0" customWidth="1"/>
  </cols>
  <sheetData>
    <row r="1" spans="3:6" ht="20.25">
      <c r="C1" s="71" t="s">
        <v>129</v>
      </c>
      <c r="D1" s="71"/>
      <c r="E1" s="71"/>
      <c r="F1" s="72"/>
    </row>
    <row r="2" ht="15.75" thickBot="1">
      <c r="C2" s="60"/>
    </row>
    <row r="3" spans="10:15" ht="13.5" thickBot="1">
      <c r="J3" s="10"/>
      <c r="K3" s="32"/>
      <c r="L3" s="32"/>
      <c r="M3" s="32"/>
      <c r="N3" s="32"/>
      <c r="O3" s="12"/>
    </row>
    <row r="4" spans="2:15" ht="12.75">
      <c r="B4" s="10"/>
      <c r="C4" s="32"/>
      <c r="D4" s="32"/>
      <c r="E4" s="32"/>
      <c r="F4" s="32"/>
      <c r="G4" s="12"/>
      <c r="J4" s="13"/>
      <c r="K4" s="34"/>
      <c r="L4" s="34"/>
      <c r="M4" s="34"/>
      <c r="N4" s="34"/>
      <c r="O4" s="16"/>
    </row>
    <row r="5" spans="2:15" ht="26.25">
      <c r="B5" s="13"/>
      <c r="C5" s="52" t="s">
        <v>94</v>
      </c>
      <c r="D5" s="37"/>
      <c r="E5" s="37"/>
      <c r="F5" s="34"/>
      <c r="G5" s="16"/>
      <c r="J5" s="13"/>
      <c r="K5" s="34"/>
      <c r="L5" s="34"/>
      <c r="M5" s="34"/>
      <c r="N5" s="34"/>
      <c r="O5" s="16"/>
    </row>
    <row r="6" spans="2:15" ht="16.5" thickBot="1">
      <c r="B6" s="13"/>
      <c r="C6" s="33"/>
      <c r="D6" s="54" t="s">
        <v>91</v>
      </c>
      <c r="E6" s="54"/>
      <c r="F6" s="34"/>
      <c r="G6" s="16"/>
      <c r="J6" s="13"/>
      <c r="K6" s="34"/>
      <c r="L6" s="34"/>
      <c r="M6" s="34"/>
      <c r="N6" s="34"/>
      <c r="O6" s="16"/>
    </row>
    <row r="7" spans="2:15" ht="12.75">
      <c r="B7" s="13"/>
      <c r="C7" s="21" t="s">
        <v>73</v>
      </c>
      <c r="D7" s="49" t="s">
        <v>59</v>
      </c>
      <c r="E7" s="22">
        <v>20000</v>
      </c>
      <c r="F7" s="23" t="s">
        <v>8</v>
      </c>
      <c r="G7" s="16"/>
      <c r="J7" s="13"/>
      <c r="K7" s="34"/>
      <c r="L7" s="34"/>
      <c r="M7" s="34"/>
      <c r="N7" s="34"/>
      <c r="O7" s="16"/>
    </row>
    <row r="8" spans="2:15" ht="12.75">
      <c r="B8" s="13"/>
      <c r="C8" s="24" t="s">
        <v>7</v>
      </c>
      <c r="D8" s="50" t="s">
        <v>11</v>
      </c>
      <c r="E8" s="25">
        <v>2</v>
      </c>
      <c r="F8" s="17" t="s">
        <v>8</v>
      </c>
      <c r="G8" s="16"/>
      <c r="J8" s="13"/>
      <c r="K8" s="34"/>
      <c r="L8" s="34"/>
      <c r="M8" s="34"/>
      <c r="N8" s="34"/>
      <c r="O8" s="16"/>
    </row>
    <row r="9" spans="2:15" ht="13.5" thickBot="1">
      <c r="B9" s="13"/>
      <c r="C9" s="26" t="s">
        <v>9</v>
      </c>
      <c r="D9" s="51" t="s">
        <v>12</v>
      </c>
      <c r="E9" s="27">
        <v>15</v>
      </c>
      <c r="F9" s="28" t="s">
        <v>8</v>
      </c>
      <c r="G9" s="16"/>
      <c r="J9" s="13"/>
      <c r="K9" s="34"/>
      <c r="L9" s="34"/>
      <c r="M9" s="34"/>
      <c r="N9" s="34"/>
      <c r="O9" s="16"/>
    </row>
    <row r="10" spans="2:15" ht="12.75">
      <c r="B10" s="13"/>
      <c r="C10" s="34"/>
      <c r="D10" s="35"/>
      <c r="E10" s="35"/>
      <c r="F10" s="34"/>
      <c r="G10" s="16"/>
      <c r="J10" s="13"/>
      <c r="K10" s="34"/>
      <c r="L10" s="34"/>
      <c r="M10" s="34"/>
      <c r="N10" s="34"/>
      <c r="O10" s="16"/>
    </row>
    <row r="11" spans="2:15" ht="12.75">
      <c r="B11" s="13"/>
      <c r="C11" s="34"/>
      <c r="D11" s="14" t="s">
        <v>38</v>
      </c>
      <c r="E11" s="14">
        <f>E9*E9/4/E7</f>
        <v>0.0028125</v>
      </c>
      <c r="F11" s="14" t="s">
        <v>8</v>
      </c>
      <c r="G11" s="16"/>
      <c r="J11" s="13"/>
      <c r="K11" s="34"/>
      <c r="L11" s="34"/>
      <c r="M11" s="34"/>
      <c r="N11" s="34"/>
      <c r="O11" s="16"/>
    </row>
    <row r="12" spans="2:15" ht="13.5" thickBot="1">
      <c r="B12" s="13"/>
      <c r="C12" s="48" t="s">
        <v>90</v>
      </c>
      <c r="D12" s="34"/>
      <c r="E12" s="34"/>
      <c r="F12" s="34"/>
      <c r="G12" s="16"/>
      <c r="H12" s="3" t="s">
        <v>97</v>
      </c>
      <c r="I12" s="7">
        <v>745000000000</v>
      </c>
      <c r="J12" s="13"/>
      <c r="K12" s="34"/>
      <c r="L12" s="34"/>
      <c r="M12" s="34"/>
      <c r="N12" s="34"/>
      <c r="O12" s="16"/>
    </row>
    <row r="13" spans="2:15" ht="12.75">
      <c r="B13" s="13"/>
      <c r="C13" s="10" t="s">
        <v>3</v>
      </c>
      <c r="D13" s="11" t="s">
        <v>0</v>
      </c>
      <c r="E13" s="67">
        <v>0.22</v>
      </c>
      <c r="F13" s="12"/>
      <c r="G13" s="16"/>
      <c r="H13" s="3" t="s">
        <v>96</v>
      </c>
      <c r="I13" s="3">
        <f>727000000000</f>
        <v>727000000000</v>
      </c>
      <c r="J13" s="13"/>
      <c r="K13" s="34"/>
      <c r="L13" s="34"/>
      <c r="M13" s="34"/>
      <c r="N13" s="34"/>
      <c r="O13" s="16"/>
    </row>
    <row r="14" spans="2:15" ht="13.5" thickBot="1">
      <c r="B14" s="13"/>
      <c r="C14" s="13" t="s">
        <v>1</v>
      </c>
      <c r="D14" s="14" t="s">
        <v>2</v>
      </c>
      <c r="E14" s="65">
        <v>600000000000</v>
      </c>
      <c r="F14" s="16"/>
      <c r="G14" s="16"/>
      <c r="H14" s="3" t="s">
        <v>95</v>
      </c>
      <c r="I14" s="3">
        <f>910000000000</f>
        <v>910000000000</v>
      </c>
      <c r="J14" s="18"/>
      <c r="K14" s="19"/>
      <c r="L14" s="19"/>
      <c r="M14" s="19"/>
      <c r="N14" s="19"/>
      <c r="O14" s="20"/>
    </row>
    <row r="15" spans="2:19" ht="23.25">
      <c r="B15" s="13"/>
      <c r="C15" s="13" t="s">
        <v>4</v>
      </c>
      <c r="D15" s="14" t="s">
        <v>5</v>
      </c>
      <c r="E15" s="66">
        <v>2.45</v>
      </c>
      <c r="F15" s="17" t="s">
        <v>37</v>
      </c>
      <c r="G15" s="16"/>
      <c r="H15" s="3" t="s">
        <v>96</v>
      </c>
      <c r="I15" s="3">
        <v>2.4</v>
      </c>
      <c r="J15" s="34"/>
      <c r="K15" s="34"/>
      <c r="L15" s="34"/>
      <c r="M15" s="34"/>
      <c r="N15" s="34"/>
      <c r="O15" s="34"/>
      <c r="S15" s="70" t="s">
        <v>131</v>
      </c>
    </row>
    <row r="16" spans="2:15" ht="13.5" thickBot="1">
      <c r="B16" s="13"/>
      <c r="C16" s="18" t="s">
        <v>10</v>
      </c>
      <c r="D16" s="53" t="s">
        <v>6</v>
      </c>
      <c r="E16" s="53">
        <v>981</v>
      </c>
      <c r="F16" s="20"/>
      <c r="G16" s="16"/>
      <c r="H16" s="3" t="s">
        <v>95</v>
      </c>
      <c r="I16" s="3">
        <v>2.53</v>
      </c>
      <c r="J16" s="34"/>
      <c r="K16" s="34"/>
      <c r="L16" s="34"/>
      <c r="M16" s="34"/>
      <c r="N16" s="34"/>
      <c r="O16" s="34"/>
    </row>
    <row r="17" spans="2:15" ht="12.75">
      <c r="B17" s="13"/>
      <c r="C17" s="34"/>
      <c r="D17" s="34"/>
      <c r="E17" s="34"/>
      <c r="F17" s="34"/>
      <c r="G17" s="16"/>
      <c r="H17" s="3" t="s">
        <v>97</v>
      </c>
      <c r="I17" s="3">
        <v>2.2</v>
      </c>
      <c r="J17" s="34"/>
      <c r="K17" s="34"/>
      <c r="L17" s="34"/>
      <c r="M17" s="34"/>
      <c r="N17" s="34"/>
      <c r="O17" s="34"/>
    </row>
    <row r="18" spans="2:15" ht="12.75">
      <c r="B18" s="13"/>
      <c r="C18" s="34"/>
      <c r="D18" s="34"/>
      <c r="E18" s="34"/>
      <c r="F18" s="34"/>
      <c r="G18" s="16"/>
      <c r="J18" s="34"/>
      <c r="K18" s="34"/>
      <c r="L18" s="34"/>
      <c r="M18" s="34"/>
      <c r="N18" s="34"/>
      <c r="O18" s="34"/>
    </row>
    <row r="19" spans="2:7" ht="15.75">
      <c r="B19" s="13"/>
      <c r="C19" s="34"/>
      <c r="D19" s="64" t="s">
        <v>14</v>
      </c>
      <c r="E19" s="64">
        <f>E9^4/E8/E8</f>
        <v>12656.25</v>
      </c>
      <c r="F19" s="34"/>
      <c r="G19" s="16"/>
    </row>
    <row r="20" spans="2:7" ht="12.75">
      <c r="B20" s="13"/>
      <c r="C20" s="34"/>
      <c r="D20" s="14" t="s">
        <v>13</v>
      </c>
      <c r="E20" s="15">
        <f>E16*E15/E14</f>
        <v>4.00575E-09</v>
      </c>
      <c r="F20" s="34"/>
      <c r="G20" s="16"/>
    </row>
    <row r="21" spans="2:7" ht="12.75">
      <c r="B21" s="13"/>
      <c r="C21" s="34"/>
      <c r="D21" s="14" t="s">
        <v>32</v>
      </c>
      <c r="E21" s="36">
        <f>3/4*(1-E13*E13)*E20*E19*10000</f>
        <v>0.36183000902343754</v>
      </c>
      <c r="F21" s="14" t="s">
        <v>33</v>
      </c>
      <c r="G21" s="16"/>
    </row>
    <row r="22" spans="2:7" ht="12.75">
      <c r="B22" s="13"/>
      <c r="C22" s="34" t="s">
        <v>39</v>
      </c>
      <c r="D22" s="34"/>
      <c r="E22" s="36">
        <f>PI()*(2*E7*E11*E11-E11*E11*E11/3)</f>
        <v>0.9940195272525623</v>
      </c>
      <c r="F22" s="14" t="s">
        <v>40</v>
      </c>
      <c r="G22" s="16"/>
    </row>
    <row r="23" spans="2:7" ht="12.75">
      <c r="B23" s="13"/>
      <c r="C23" s="34" t="s">
        <v>41</v>
      </c>
      <c r="D23" s="34"/>
      <c r="E23" s="34">
        <f>(E8*PI()*E9^2-E22)*E15</f>
        <v>3461.1705527409786</v>
      </c>
      <c r="F23" s="14" t="s">
        <v>6</v>
      </c>
      <c r="G23" s="16"/>
    </row>
    <row r="24" spans="2:7" ht="12.75">
      <c r="B24" s="13"/>
      <c r="C24" s="34"/>
      <c r="D24" s="34"/>
      <c r="E24" s="34"/>
      <c r="F24" s="34"/>
      <c r="G24" s="16"/>
    </row>
    <row r="25" spans="2:7" ht="12.75">
      <c r="B25" s="13"/>
      <c r="C25" s="37" t="s">
        <v>60</v>
      </c>
      <c r="D25" s="58">
        <f>D34+D33+D32</f>
        <v>9</v>
      </c>
      <c r="E25" s="34"/>
      <c r="F25" s="34"/>
      <c r="G25" s="16"/>
    </row>
    <row r="26" spans="2:13" ht="12.75">
      <c r="B26" s="13"/>
      <c r="C26" s="34"/>
      <c r="D26" s="34"/>
      <c r="E26" s="34"/>
      <c r="F26" s="44" t="s">
        <v>92</v>
      </c>
      <c r="G26" s="38" t="s">
        <v>69</v>
      </c>
      <c r="H26" s="8" t="s">
        <v>70</v>
      </c>
      <c r="I26" t="s">
        <v>42</v>
      </c>
      <c r="M26" s="5"/>
    </row>
    <row r="27" spans="2:9" ht="12.75">
      <c r="B27" s="13"/>
      <c r="C27" s="37" t="s">
        <v>64</v>
      </c>
      <c r="D27" s="39">
        <v>0</v>
      </c>
      <c r="E27" s="40" t="s">
        <v>66</v>
      </c>
      <c r="F27" s="41">
        <v>0</v>
      </c>
      <c r="G27" s="42">
        <f>D27*E9</f>
        <v>0</v>
      </c>
      <c r="H27" s="3">
        <f>E23*F27</f>
        <v>0</v>
      </c>
      <c r="I27" s="3">
        <f>L47*F$27+L77*F$28+L109*F$29</f>
        <v>0.36523941977961155</v>
      </c>
    </row>
    <row r="28" spans="2:9" ht="12.75">
      <c r="B28" s="13"/>
      <c r="C28" s="37" t="s">
        <v>65</v>
      </c>
      <c r="D28" s="39">
        <v>0.345</v>
      </c>
      <c r="E28" s="40" t="s">
        <v>67</v>
      </c>
      <c r="F28" s="41">
        <v>0.34</v>
      </c>
      <c r="G28" s="42">
        <f>E9*D28</f>
        <v>5.175</v>
      </c>
      <c r="H28" s="3">
        <f>E23*F28</f>
        <v>1176.7979879319328</v>
      </c>
      <c r="I28" s="3">
        <f>L48*F$27+L78*F$28+L110*F$29</f>
        <v>-0.36511516519656106</v>
      </c>
    </row>
    <row r="29" spans="2:13" ht="15">
      <c r="B29" s="13"/>
      <c r="C29" s="37" t="s">
        <v>72</v>
      </c>
      <c r="D29" s="43">
        <v>1</v>
      </c>
      <c r="E29" s="40" t="s">
        <v>68</v>
      </c>
      <c r="F29" s="44">
        <f>1-F27-F28</f>
        <v>0.6599999999999999</v>
      </c>
      <c r="G29" s="47">
        <f>D29*E9</f>
        <v>15</v>
      </c>
      <c r="H29" s="3">
        <f>E23*F29</f>
        <v>2284.372564809046</v>
      </c>
      <c r="I29" s="61">
        <f>L49*F$27+L79*F$28+L111*F$29</f>
        <v>-0.0001242545830502928</v>
      </c>
      <c r="J29" s="63" t="s">
        <v>130</v>
      </c>
      <c r="K29" s="63"/>
      <c r="L29" s="63"/>
      <c r="M29" s="63"/>
    </row>
    <row r="30" spans="2:7" ht="12.75">
      <c r="B30" s="13"/>
      <c r="C30" s="37"/>
      <c r="D30" s="40"/>
      <c r="E30" s="37" t="s">
        <v>93</v>
      </c>
      <c r="F30" s="40">
        <f>F29+F28+F27</f>
        <v>1</v>
      </c>
      <c r="G30" s="16"/>
    </row>
    <row r="31" spans="2:8" ht="12.75">
      <c r="B31" s="13"/>
      <c r="C31" s="37"/>
      <c r="D31" s="40"/>
      <c r="E31" s="37"/>
      <c r="F31" s="40"/>
      <c r="G31" s="16"/>
      <c r="H31" s="4" t="s">
        <v>71</v>
      </c>
    </row>
    <row r="32" spans="2:9" ht="12.75">
      <c r="B32" s="13"/>
      <c r="C32" s="37" t="s">
        <v>61</v>
      </c>
      <c r="D32" s="25">
        <v>0</v>
      </c>
      <c r="E32" s="37"/>
      <c r="F32" s="37"/>
      <c r="G32" s="16"/>
      <c r="H32" s="9">
        <f>IF(D32=0,0,H27/D32)</f>
        <v>0</v>
      </c>
      <c r="I32" s="8" t="s">
        <v>6</v>
      </c>
    </row>
    <row r="33" spans="2:9" ht="12.75">
      <c r="B33" s="13"/>
      <c r="C33" s="37" t="s">
        <v>62</v>
      </c>
      <c r="D33" s="25">
        <v>3</v>
      </c>
      <c r="E33" s="40"/>
      <c r="F33" s="40">
        <f>F29*E19/(3^4)</f>
        <v>103.12499999999997</v>
      </c>
      <c r="G33" s="55" t="s">
        <v>98</v>
      </c>
      <c r="H33" s="9">
        <f>H28/D33</f>
        <v>392.2659959773109</v>
      </c>
      <c r="I33" s="8" t="s">
        <v>6</v>
      </c>
    </row>
    <row r="34" spans="2:9" ht="12.75">
      <c r="B34" s="13"/>
      <c r="C34" s="37" t="s">
        <v>63</v>
      </c>
      <c r="D34" s="25">
        <v>6</v>
      </c>
      <c r="E34" s="40"/>
      <c r="F34" s="40">
        <f>F29*E19/(6^4)</f>
        <v>6.445312499999998</v>
      </c>
      <c r="G34" s="55" t="s">
        <v>99</v>
      </c>
      <c r="H34" s="9">
        <f>H29/D34</f>
        <v>380.72876080150763</v>
      </c>
      <c r="I34" s="3">
        <v>9</v>
      </c>
    </row>
    <row r="35" spans="2:9" ht="12.75">
      <c r="B35" s="13"/>
      <c r="C35" s="37"/>
      <c r="D35" s="44"/>
      <c r="E35" s="40"/>
      <c r="F35" s="40">
        <f>F29*E19/(9^4)</f>
        <v>1.273148148148148</v>
      </c>
      <c r="G35" s="55" t="s">
        <v>100</v>
      </c>
      <c r="H35" s="9"/>
      <c r="I35" s="3"/>
    </row>
    <row r="36" spans="2:9" ht="13.5" thickBot="1">
      <c r="B36" s="18"/>
      <c r="C36" s="45"/>
      <c r="D36" s="46"/>
      <c r="E36" s="45"/>
      <c r="F36" s="45"/>
      <c r="G36" s="20"/>
      <c r="H36" s="9"/>
      <c r="I36" s="3"/>
    </row>
    <row r="37" spans="3:9" ht="12.75">
      <c r="C37" s="2"/>
      <c r="D37" s="31"/>
      <c r="E37" s="2"/>
      <c r="F37" s="2"/>
      <c r="H37" s="9"/>
      <c r="I37" s="3"/>
    </row>
    <row r="38" spans="3:9" ht="12.75">
      <c r="C38" s="2"/>
      <c r="D38" s="31"/>
      <c r="E38" s="2"/>
      <c r="F38" s="2"/>
      <c r="H38" s="9"/>
      <c r="I38" s="3"/>
    </row>
    <row r="39" spans="3:9" ht="12.75">
      <c r="C39" s="2"/>
      <c r="D39" s="31"/>
      <c r="E39" s="2"/>
      <c r="F39" s="2"/>
      <c r="H39" s="9"/>
      <c r="I39" s="3"/>
    </row>
    <row r="40" spans="3:9" ht="12.75">
      <c r="C40" s="2"/>
      <c r="D40" s="31"/>
      <c r="E40" s="2"/>
      <c r="F40" s="2"/>
      <c r="H40" s="9"/>
      <c r="I40" s="3"/>
    </row>
    <row r="41" spans="3:9" ht="12.75">
      <c r="C41" s="2"/>
      <c r="D41" s="31"/>
      <c r="E41" s="2"/>
      <c r="F41" s="2"/>
      <c r="H41" s="9"/>
      <c r="I41" s="3"/>
    </row>
    <row r="42" spans="3:9" ht="12.75">
      <c r="C42" s="2"/>
      <c r="D42" s="31"/>
      <c r="E42" s="2"/>
      <c r="F42" s="2"/>
      <c r="H42" s="9"/>
      <c r="I42" s="3"/>
    </row>
    <row r="43" spans="3:9" ht="12.75">
      <c r="C43" s="2"/>
      <c r="D43" s="31"/>
      <c r="E43" s="2"/>
      <c r="F43" s="2"/>
      <c r="H43" s="9"/>
      <c r="I43" s="3"/>
    </row>
    <row r="44" spans="3:9" ht="12.75">
      <c r="C44" s="2"/>
      <c r="D44" s="31"/>
      <c r="E44" s="2"/>
      <c r="F44" s="2"/>
      <c r="H44" s="9"/>
      <c r="I44" s="3"/>
    </row>
    <row r="45" spans="3:6" ht="12.75">
      <c r="C45" s="2"/>
      <c r="D45" s="4"/>
      <c r="E45" s="2"/>
      <c r="F45" s="2"/>
    </row>
    <row r="46" spans="3:6" ht="12.75">
      <c r="C46" s="2"/>
      <c r="D46" s="2"/>
      <c r="E46" s="2"/>
      <c r="F46" s="2"/>
    </row>
    <row r="47" spans="3:12" ht="12.75">
      <c r="C47" t="s">
        <v>43</v>
      </c>
      <c r="D47" s="3">
        <f>(5+E13)/(1+E13)</f>
        <v>4.278688524590164</v>
      </c>
      <c r="K47" t="s">
        <v>26</v>
      </c>
      <c r="L47">
        <f>M53</f>
        <v>-1.569672131147541</v>
      </c>
    </row>
    <row r="48" spans="3:12" ht="12.75">
      <c r="C48" t="s">
        <v>44</v>
      </c>
      <c r="D48" s="3">
        <f>(6+2*E13)/(1+E13)</f>
        <v>5.278688524590164</v>
      </c>
      <c r="K48" t="s">
        <v>27</v>
      </c>
      <c r="L48">
        <f>M73-M53-L49</f>
        <v>2.717937911387371</v>
      </c>
    </row>
    <row r="49" spans="3:12" ht="12.75">
      <c r="C49" t="s">
        <v>45</v>
      </c>
      <c r="D49" s="3">
        <f>(1-E13)/(1+E13)</f>
        <v>0.639344262295082</v>
      </c>
      <c r="K49" t="s">
        <v>28</v>
      </c>
      <c r="L49">
        <f>(0.51*M53+0.49*M73-M67)*4</f>
        <v>-1.1482657802398295</v>
      </c>
    </row>
    <row r="50" ht="12.75">
      <c r="D50" s="3"/>
    </row>
    <row r="51" spans="3:5" ht="12.75">
      <c r="C51" s="2" t="s">
        <v>15</v>
      </c>
      <c r="D51" s="3" t="s">
        <v>23</v>
      </c>
      <c r="E51">
        <f>D27*D27</f>
        <v>0</v>
      </c>
    </row>
    <row r="52" spans="4:13" s="3" customFormat="1" ht="12.75">
      <c r="D52" s="3" t="s">
        <v>16</v>
      </c>
      <c r="E52" s="3" t="s">
        <v>18</v>
      </c>
      <c r="F52" s="3" t="s">
        <v>19</v>
      </c>
      <c r="G52" s="3" t="s">
        <v>21</v>
      </c>
      <c r="I52" s="3" t="s">
        <v>22</v>
      </c>
      <c r="J52" s="3" t="s">
        <v>17</v>
      </c>
      <c r="K52" s="3" t="s">
        <v>24</v>
      </c>
      <c r="L52" s="3" t="s">
        <v>20</v>
      </c>
      <c r="M52" s="3" t="s">
        <v>25</v>
      </c>
    </row>
    <row r="53" spans="4:14" ht="12.75">
      <c r="D53">
        <v>0</v>
      </c>
      <c r="E53">
        <f>D53*D53</f>
        <v>0</v>
      </c>
      <c r="F53">
        <f>E53*E53</f>
        <v>0</v>
      </c>
      <c r="G53">
        <f>F53-D$48*E53+D$47</f>
        <v>4.278688524590164</v>
      </c>
      <c r="H53">
        <f aca="true" t="shared" si="0" ref="H53:H73">IF(D$27=0,0,2*(E53+E$51)*LN(D$27))</f>
        <v>0</v>
      </c>
      <c r="I53">
        <f>2*(1-E$51)+D$49*(1-E53)*(1-E$51)+H53</f>
        <v>2.639344262295082</v>
      </c>
      <c r="J53">
        <f>2*(1-E53)+D$49*(1-E53)*(1-E$51)</f>
        <v>2.639344262295082</v>
      </c>
      <c r="K53">
        <f>IF(D53&lt;=D$27,1,0)</f>
        <v>1</v>
      </c>
      <c r="L53">
        <f>I53*K53+J53*(1-K53)</f>
        <v>2.639344262295082</v>
      </c>
      <c r="M53">
        <f aca="true" t="shared" si="1" ref="M53:M73">G53/4-L53</f>
        <v>-1.569672131147541</v>
      </c>
      <c r="N53" s="1"/>
    </row>
    <row r="54" spans="4:13" ht="12.75">
      <c r="D54">
        <f>D53+0.05</f>
        <v>0.05</v>
      </c>
      <c r="E54">
        <f>D54*D54</f>
        <v>0.0025000000000000005</v>
      </c>
      <c r="F54">
        <f>E54*E54</f>
        <v>6.250000000000003E-06</v>
      </c>
      <c r="G54">
        <f aca="true" t="shared" si="2" ref="G54:G73">F54-D$48*E54+D$47</f>
        <v>4.265498053278689</v>
      </c>
      <c r="H54">
        <f t="shared" si="0"/>
        <v>0</v>
      </c>
      <c r="I54">
        <f aca="true" t="shared" si="3" ref="I54:I73">2*(1-E$51)+D$49*(1-E54)*(1-E$51)+H54</f>
        <v>2.6377459016393443</v>
      </c>
      <c r="J54">
        <f>2*(1-E54)+D$49*(1-E54)*(1-E$51)+2*(E54+E$51)*LN(D54)</f>
        <v>2.6177672402715744</v>
      </c>
      <c r="K54">
        <f aca="true" t="shared" si="4" ref="K54:K73">IF(D54&lt;=D$27,1,0)</f>
        <v>0</v>
      </c>
      <c r="L54">
        <f aca="true" t="shared" si="5" ref="L54:L73">I54*K54+J54*(1-K54)</f>
        <v>2.6177672402715744</v>
      </c>
      <c r="M54">
        <f t="shared" si="1"/>
        <v>-1.5513927269519021</v>
      </c>
    </row>
    <row r="55" spans="4:13" ht="12.75">
      <c r="D55">
        <f>D54+0.05</f>
        <v>0.1</v>
      </c>
      <c r="E55">
        <f aca="true" t="shared" si="6" ref="E55:F73">D55*D55</f>
        <v>0.010000000000000002</v>
      </c>
      <c r="F55">
        <f t="shared" si="6"/>
        <v>0.00010000000000000005</v>
      </c>
      <c r="G55">
        <f t="shared" si="2"/>
        <v>4.226001639344262</v>
      </c>
      <c r="H55">
        <f t="shared" si="0"/>
        <v>0</v>
      </c>
      <c r="I55">
        <f t="shared" si="3"/>
        <v>2.632950819672131</v>
      </c>
      <c r="J55">
        <f aca="true" t="shared" si="7" ref="J55:J73">2*(1-E55)+D$49*(1-E55)*(1-E$51)+2*(E55+E$51)*LN(D55)</f>
        <v>2.5668991178122504</v>
      </c>
      <c r="K55">
        <f t="shared" si="4"/>
        <v>0</v>
      </c>
      <c r="L55">
        <f t="shared" si="5"/>
        <v>2.5668991178122504</v>
      </c>
      <c r="M55">
        <f t="shared" si="1"/>
        <v>-1.510398707976185</v>
      </c>
    </row>
    <row r="56" spans="4:13" ht="12.75">
      <c r="D56">
        <f aca="true" t="shared" si="8" ref="D56:D68">D55+0.05</f>
        <v>0.15000000000000002</v>
      </c>
      <c r="E56">
        <f t="shared" si="6"/>
        <v>0.022500000000000006</v>
      </c>
      <c r="F56">
        <f t="shared" si="6"/>
        <v>0.0005062500000000003</v>
      </c>
      <c r="G56">
        <f t="shared" si="2"/>
        <v>4.160424282786885</v>
      </c>
      <c r="H56">
        <f t="shared" si="0"/>
        <v>0</v>
      </c>
      <c r="I56">
        <f t="shared" si="3"/>
        <v>2.6249590163934426</v>
      </c>
      <c r="J56">
        <f t="shared" si="7"/>
        <v>2.4945886170735783</v>
      </c>
      <c r="K56">
        <f t="shared" si="4"/>
        <v>0</v>
      </c>
      <c r="L56">
        <f t="shared" si="5"/>
        <v>2.4945886170735783</v>
      </c>
      <c r="M56">
        <f t="shared" si="1"/>
        <v>-1.454482546376857</v>
      </c>
    </row>
    <row r="57" spans="4:13" ht="12.75">
      <c r="D57">
        <f t="shared" si="8"/>
        <v>0.2</v>
      </c>
      <c r="E57">
        <f t="shared" si="6"/>
        <v>0.04000000000000001</v>
      </c>
      <c r="F57">
        <f t="shared" si="6"/>
        <v>0.0016000000000000007</v>
      </c>
      <c r="G57">
        <f t="shared" si="2"/>
        <v>4.069140983606557</v>
      </c>
      <c r="H57">
        <f t="shared" si="0"/>
        <v>0</v>
      </c>
      <c r="I57">
        <f t="shared" si="3"/>
        <v>2.6137704918032787</v>
      </c>
      <c r="J57">
        <f t="shared" si="7"/>
        <v>2.4050154588085504</v>
      </c>
      <c r="K57">
        <f t="shared" si="4"/>
        <v>0</v>
      </c>
      <c r="L57">
        <f t="shared" si="5"/>
        <v>2.4050154588085504</v>
      </c>
      <c r="M57">
        <f t="shared" si="1"/>
        <v>-1.3877302129069111</v>
      </c>
    </row>
    <row r="58" spans="4:13" ht="12.75">
      <c r="D58">
        <f t="shared" si="8"/>
        <v>0.25</v>
      </c>
      <c r="E58">
        <f t="shared" si="6"/>
        <v>0.0625</v>
      </c>
      <c r="F58">
        <f t="shared" si="6"/>
        <v>0.00390625</v>
      </c>
      <c r="G58">
        <f t="shared" si="2"/>
        <v>3.9526767418032787</v>
      </c>
      <c r="H58">
        <f t="shared" si="0"/>
        <v>0</v>
      </c>
      <c r="I58">
        <f t="shared" si="3"/>
        <v>2.5993852459016393</v>
      </c>
      <c r="J58">
        <f t="shared" si="7"/>
        <v>2.301098450761653</v>
      </c>
      <c r="K58">
        <f t="shared" si="4"/>
        <v>0</v>
      </c>
      <c r="L58">
        <f t="shared" si="5"/>
        <v>2.301098450761653</v>
      </c>
      <c r="M58">
        <f t="shared" si="1"/>
        <v>-1.3129292653108333</v>
      </c>
    </row>
    <row r="59" spans="4:13" ht="12.75">
      <c r="D59">
        <f t="shared" si="8"/>
        <v>0.3</v>
      </c>
      <c r="E59">
        <f t="shared" si="6"/>
        <v>0.09</v>
      </c>
      <c r="F59">
        <f t="shared" si="6"/>
        <v>0.0081</v>
      </c>
      <c r="G59">
        <f t="shared" si="2"/>
        <v>3.8117065573770494</v>
      </c>
      <c r="H59">
        <f t="shared" si="0"/>
        <v>0</v>
      </c>
      <c r="I59">
        <f t="shared" si="3"/>
        <v>2.5818032786885245</v>
      </c>
      <c r="J59">
        <f t="shared" si="7"/>
        <v>2.185088173909856</v>
      </c>
      <c r="K59">
        <f t="shared" si="4"/>
        <v>0</v>
      </c>
      <c r="L59">
        <f t="shared" si="5"/>
        <v>2.185088173909856</v>
      </c>
      <c r="M59">
        <f t="shared" si="1"/>
        <v>-1.2321615345655939</v>
      </c>
    </row>
    <row r="60" spans="4:13" ht="12.75">
      <c r="D60">
        <f t="shared" si="8"/>
        <v>0.35</v>
      </c>
      <c r="E60">
        <f t="shared" si="6"/>
        <v>0.12249999999999998</v>
      </c>
      <c r="F60">
        <f t="shared" si="6"/>
        <v>0.015006249999999995</v>
      </c>
      <c r="G60">
        <f t="shared" si="2"/>
        <v>3.6470554303278693</v>
      </c>
      <c r="H60">
        <f t="shared" si="0"/>
        <v>0</v>
      </c>
      <c r="I60">
        <f t="shared" si="3"/>
        <v>2.5610245901639344</v>
      </c>
      <c r="J60">
        <f t="shared" si="7"/>
        <v>2.058818169661759</v>
      </c>
      <c r="K60">
        <f>IF(D60&lt;=D$27,1,0)</f>
        <v>0</v>
      </c>
      <c r="L60">
        <f t="shared" si="5"/>
        <v>2.058818169661759</v>
      </c>
      <c r="M60">
        <f t="shared" si="1"/>
        <v>-1.1470543120797916</v>
      </c>
    </row>
    <row r="61" spans="4:18" ht="12.75">
      <c r="D61">
        <f t="shared" si="8"/>
        <v>0.39999999999999997</v>
      </c>
      <c r="E61">
        <f t="shared" si="6"/>
        <v>0.15999999999999998</v>
      </c>
      <c r="F61">
        <f t="shared" si="6"/>
        <v>0.02559999999999999</v>
      </c>
      <c r="G61">
        <f t="shared" si="2"/>
        <v>3.4596983606557377</v>
      </c>
      <c r="H61">
        <f t="shared" si="0"/>
        <v>0</v>
      </c>
      <c r="I61">
        <f t="shared" si="3"/>
        <v>2.5370491803278687</v>
      </c>
      <c r="J61">
        <f t="shared" si="7"/>
        <v>1.9238361461281397</v>
      </c>
      <c r="K61">
        <f t="shared" si="4"/>
        <v>0</v>
      </c>
      <c r="L61">
        <f t="shared" si="5"/>
        <v>1.9238361461281397</v>
      </c>
      <c r="M61">
        <f t="shared" si="1"/>
        <v>-1.0589115559642053</v>
      </c>
      <c r="P61" t="s">
        <v>126</v>
      </c>
      <c r="Q61" s="62">
        <v>11</v>
      </c>
      <c r="R61" s="3" t="s">
        <v>127</v>
      </c>
    </row>
    <row r="62" spans="4:17" ht="17.25">
      <c r="D62">
        <f t="shared" si="8"/>
        <v>0.44999999999999996</v>
      </c>
      <c r="E62">
        <f t="shared" si="6"/>
        <v>0.20249999999999996</v>
      </c>
      <c r="F62">
        <f t="shared" si="6"/>
        <v>0.04100624999999998</v>
      </c>
      <c r="G62">
        <f t="shared" si="2"/>
        <v>3.250760348360656</v>
      </c>
      <c r="H62">
        <f t="shared" si="0"/>
        <v>0</v>
      </c>
      <c r="I62">
        <f t="shared" si="3"/>
        <v>2.5098770491803277</v>
      </c>
      <c r="J62">
        <f t="shared" si="7"/>
        <v>1.7814814322121308</v>
      </c>
      <c r="K62">
        <f t="shared" si="4"/>
        <v>0</v>
      </c>
      <c r="L62">
        <f t="shared" si="5"/>
        <v>1.7814814322121308</v>
      </c>
      <c r="M62">
        <f t="shared" si="1"/>
        <v>-0.9687913451219669</v>
      </c>
      <c r="P62" s="68" t="s">
        <v>125</v>
      </c>
      <c r="Q62" s="69">
        <f>550/2/Q61</f>
        <v>25</v>
      </c>
    </row>
    <row r="63" spans="4:13" ht="12.75">
      <c r="D63">
        <f t="shared" si="8"/>
        <v>0.49999999999999994</v>
      </c>
      <c r="E63">
        <f t="shared" si="6"/>
        <v>0.24999999999999994</v>
      </c>
      <c r="F63">
        <f t="shared" si="6"/>
        <v>0.06249999999999997</v>
      </c>
      <c r="G63">
        <f t="shared" si="2"/>
        <v>3.0215163934426235</v>
      </c>
      <c r="H63">
        <f t="shared" si="0"/>
        <v>0</v>
      </c>
      <c r="I63">
        <f t="shared" si="3"/>
        <v>2.4795081967213113</v>
      </c>
      <c r="J63">
        <f t="shared" si="7"/>
        <v>1.6329346064413388</v>
      </c>
      <c r="K63">
        <f t="shared" si="4"/>
        <v>0</v>
      </c>
      <c r="L63">
        <f t="shared" si="5"/>
        <v>1.6329346064413388</v>
      </c>
      <c r="M63">
        <f t="shared" si="1"/>
        <v>-0.8775555080806829</v>
      </c>
    </row>
    <row r="64" spans="4:13" ht="12.75">
      <c r="D64">
        <f t="shared" si="8"/>
        <v>0.5499999999999999</v>
      </c>
      <c r="E64">
        <f t="shared" si="6"/>
        <v>0.30249999999999994</v>
      </c>
      <c r="F64">
        <f t="shared" si="6"/>
        <v>0.09150624999999996</v>
      </c>
      <c r="G64">
        <f t="shared" si="2"/>
        <v>2.77339149590164</v>
      </c>
      <c r="H64">
        <f t="shared" si="0"/>
        <v>0</v>
      </c>
      <c r="I64">
        <f t="shared" si="3"/>
        <v>2.44594262295082</v>
      </c>
      <c r="J64">
        <f t="shared" si="7"/>
        <v>1.4792512374936693</v>
      </c>
      <c r="K64">
        <f t="shared" si="4"/>
        <v>0</v>
      </c>
      <c r="L64">
        <f t="shared" si="5"/>
        <v>1.4792512374936693</v>
      </c>
      <c r="M64">
        <f t="shared" si="1"/>
        <v>-0.7859033635182593</v>
      </c>
    </row>
    <row r="65" spans="4:13" ht="12.75">
      <c r="D65">
        <f t="shared" si="8"/>
        <v>0.6</v>
      </c>
      <c r="E65">
        <f t="shared" si="6"/>
        <v>0.36</v>
      </c>
      <c r="F65">
        <f t="shared" si="6"/>
        <v>0.1296</v>
      </c>
      <c r="G65">
        <f t="shared" si="2"/>
        <v>2.5079606557377048</v>
      </c>
      <c r="H65">
        <f t="shared" si="0"/>
        <v>0</v>
      </c>
      <c r="I65">
        <f t="shared" si="3"/>
        <v>2.4091803278688526</v>
      </c>
      <c r="J65">
        <f t="shared" si="7"/>
        <v>1.3213858787573391</v>
      </c>
      <c r="K65">
        <f t="shared" si="4"/>
        <v>0</v>
      </c>
      <c r="L65">
        <f t="shared" si="5"/>
        <v>1.3213858787573391</v>
      </c>
      <c r="M65">
        <f t="shared" si="1"/>
        <v>-0.694395714822913</v>
      </c>
    </row>
    <row r="66" spans="4:13" ht="12.75">
      <c r="D66">
        <f t="shared" si="8"/>
        <v>0.65</v>
      </c>
      <c r="E66">
        <f t="shared" si="6"/>
        <v>0.42250000000000004</v>
      </c>
      <c r="F66">
        <f t="shared" si="6"/>
        <v>0.17850625000000003</v>
      </c>
      <c r="G66">
        <f t="shared" si="2"/>
        <v>2.2269488729508193</v>
      </c>
      <c r="H66">
        <f t="shared" si="0"/>
        <v>0</v>
      </c>
      <c r="I66">
        <f t="shared" si="3"/>
        <v>2.36922131147541</v>
      </c>
      <c r="J66">
        <f t="shared" si="7"/>
        <v>1.1602097473772859</v>
      </c>
      <c r="K66">
        <f t="shared" si="4"/>
        <v>0</v>
      </c>
      <c r="L66">
        <f t="shared" si="5"/>
        <v>1.1602097473772859</v>
      </c>
      <c r="M66">
        <f t="shared" si="1"/>
        <v>-0.603472529139581</v>
      </c>
    </row>
    <row r="67" spans="4:13" ht="12.75">
      <c r="D67">
        <f t="shared" si="8"/>
        <v>0.7000000000000001</v>
      </c>
      <c r="E67">
        <f t="shared" si="6"/>
        <v>0.4900000000000001</v>
      </c>
      <c r="F67">
        <f t="shared" si="6"/>
        <v>0.2401000000000001</v>
      </c>
      <c r="G67">
        <f t="shared" si="2"/>
        <v>1.9322311475409832</v>
      </c>
      <c r="H67">
        <f t="shared" si="0"/>
        <v>0</v>
      </c>
      <c r="I67">
        <f t="shared" si="3"/>
        <v>2.326065573770492</v>
      </c>
      <c r="J67">
        <f t="shared" si="7"/>
        <v>0.996524128710534</v>
      </c>
      <c r="K67">
        <f t="shared" si="4"/>
        <v>0</v>
      </c>
      <c r="L67">
        <f t="shared" si="5"/>
        <v>0.996524128710534</v>
      </c>
      <c r="M67">
        <f t="shared" si="1"/>
        <v>-0.5134663418252882</v>
      </c>
    </row>
    <row r="68" spans="4:13" ht="12.75">
      <c r="D68">
        <f t="shared" si="8"/>
        <v>0.7500000000000001</v>
      </c>
      <c r="E68">
        <f t="shared" si="6"/>
        <v>0.5625000000000002</v>
      </c>
      <c r="F68">
        <f t="shared" si="6"/>
        <v>0.3164062500000002</v>
      </c>
      <c r="G68">
        <f t="shared" si="2"/>
        <v>1.6258324795081958</v>
      </c>
      <c r="H68">
        <f t="shared" si="0"/>
        <v>0</v>
      </c>
      <c r="I68">
        <f t="shared" si="3"/>
        <v>2.2797131147540983</v>
      </c>
      <c r="J68">
        <f t="shared" si="7"/>
        <v>0.8310707832458444</v>
      </c>
      <c r="K68">
        <f t="shared" si="4"/>
        <v>0</v>
      </c>
      <c r="L68">
        <f t="shared" si="5"/>
        <v>0.8310707832458444</v>
      </c>
      <c r="M68">
        <f t="shared" si="1"/>
        <v>-0.42461266336879544</v>
      </c>
    </row>
    <row r="69" spans="4:13" ht="12.75">
      <c r="D69">
        <f>D68+0.05</f>
        <v>0.8000000000000002</v>
      </c>
      <c r="E69">
        <f t="shared" si="6"/>
        <v>0.6400000000000002</v>
      </c>
      <c r="F69">
        <f t="shared" si="6"/>
        <v>0.4096000000000003</v>
      </c>
      <c r="G69">
        <f t="shared" si="2"/>
        <v>1.309927868852458</v>
      </c>
      <c r="H69">
        <f t="shared" si="0"/>
        <v>0</v>
      </c>
      <c r="I69">
        <f t="shared" si="3"/>
        <v>2.2301639344262294</v>
      </c>
      <c r="J69">
        <f t="shared" si="7"/>
        <v>0.6645401887440405</v>
      </c>
      <c r="K69">
        <f t="shared" si="4"/>
        <v>0</v>
      </c>
      <c r="L69">
        <f t="shared" si="5"/>
        <v>0.6645401887440405</v>
      </c>
      <c r="M69">
        <f t="shared" si="1"/>
        <v>-0.337058221530926</v>
      </c>
    </row>
    <row r="70" spans="4:13" ht="12.75">
      <c r="D70">
        <f>D69+0.05</f>
        <v>0.8500000000000002</v>
      </c>
      <c r="E70">
        <f t="shared" si="6"/>
        <v>0.7225000000000004</v>
      </c>
      <c r="F70">
        <f t="shared" si="6"/>
        <v>0.5220062500000006</v>
      </c>
      <c r="G70">
        <f t="shared" si="2"/>
        <v>0.9868423155737691</v>
      </c>
      <c r="H70">
        <f t="shared" si="0"/>
        <v>0</v>
      </c>
      <c r="I70">
        <f t="shared" si="3"/>
        <v>2.177418032786885</v>
      </c>
      <c r="J70">
        <f t="shared" si="7"/>
        <v>0.49757817966259976</v>
      </c>
      <c r="K70">
        <f t="shared" si="4"/>
        <v>0</v>
      </c>
      <c r="L70">
        <f t="shared" si="5"/>
        <v>0.49757817966259976</v>
      </c>
      <c r="M70">
        <f t="shared" si="1"/>
        <v>-0.2508676007691575</v>
      </c>
    </row>
    <row r="71" spans="4:13" ht="12.75">
      <c r="D71">
        <f>D70+0.05</f>
        <v>0.9000000000000002</v>
      </c>
      <c r="E71">
        <f t="shared" si="6"/>
        <v>0.8100000000000004</v>
      </c>
      <c r="F71">
        <f t="shared" si="6"/>
        <v>0.6561000000000006</v>
      </c>
      <c r="G71">
        <f t="shared" si="2"/>
        <v>0.6590508196721299</v>
      </c>
      <c r="H71">
        <f t="shared" si="0"/>
        <v>0</v>
      </c>
      <c r="I71">
        <f t="shared" si="3"/>
        <v>2.1214754098360653</v>
      </c>
      <c r="J71">
        <f t="shared" si="7"/>
        <v>0.3307913744703863</v>
      </c>
      <c r="K71">
        <f t="shared" si="4"/>
        <v>0</v>
      </c>
      <c r="L71">
        <f t="shared" si="5"/>
        <v>0.3307913744703863</v>
      </c>
      <c r="M71">
        <f t="shared" si="1"/>
        <v>-0.16602866955235385</v>
      </c>
    </row>
    <row r="72" spans="4:13" ht="12.75">
      <c r="D72">
        <f>D71+0.05</f>
        <v>0.9500000000000003</v>
      </c>
      <c r="E72">
        <f t="shared" si="6"/>
        <v>0.9025000000000005</v>
      </c>
      <c r="F72">
        <f t="shared" si="6"/>
        <v>0.814506250000001</v>
      </c>
      <c r="G72">
        <f t="shared" si="2"/>
        <v>0.32917838114753906</v>
      </c>
      <c r="H72">
        <f t="shared" si="0"/>
        <v>0</v>
      </c>
      <c r="I72">
        <f t="shared" si="3"/>
        <v>2.06233606557377</v>
      </c>
      <c r="J72">
        <f t="shared" si="7"/>
        <v>0.16475166920424086</v>
      </c>
      <c r="K72">
        <f t="shared" si="4"/>
        <v>0</v>
      </c>
      <c r="L72">
        <f t="shared" si="5"/>
        <v>0.16475166920424086</v>
      </c>
      <c r="M72">
        <f t="shared" si="1"/>
        <v>-0.0824570739173561</v>
      </c>
    </row>
    <row r="73" spans="4:13" ht="12.75">
      <c r="D73">
        <f>D72+0.05</f>
        <v>1.0000000000000002</v>
      </c>
      <c r="E73">
        <f t="shared" si="6"/>
        <v>1.0000000000000004</v>
      </c>
      <c r="F73">
        <f t="shared" si="6"/>
        <v>1.0000000000000009</v>
      </c>
      <c r="G73">
        <f t="shared" si="2"/>
        <v>0</v>
      </c>
      <c r="H73">
        <f t="shared" si="0"/>
        <v>0</v>
      </c>
      <c r="I73">
        <f t="shared" si="3"/>
        <v>1.9999999999999998</v>
      </c>
      <c r="J73">
        <f t="shared" si="7"/>
        <v>-7.280150981148566E-16</v>
      </c>
      <c r="K73">
        <f t="shared" si="4"/>
        <v>0</v>
      </c>
      <c r="L73">
        <f t="shared" si="5"/>
        <v>-7.280150981148566E-16</v>
      </c>
      <c r="M73">
        <f t="shared" si="1"/>
        <v>7.280150981148566E-16</v>
      </c>
    </row>
    <row r="77" spans="11:12" ht="12.75">
      <c r="K77" t="s">
        <v>26</v>
      </c>
      <c r="L77">
        <f>M83</f>
        <v>-1.0021887846404867</v>
      </c>
    </row>
    <row r="78" spans="11:12" ht="12.75">
      <c r="K78" t="s">
        <v>27</v>
      </c>
      <c r="L78">
        <f>M103-M83-L79</f>
        <v>1.487654239296518</v>
      </c>
    </row>
    <row r="79" spans="11:12" ht="12.75">
      <c r="K79" t="s">
        <v>28</v>
      </c>
      <c r="L79">
        <f>(0.51*M83+0.49*M103-M97)*4</f>
        <v>-0.48546545465603064</v>
      </c>
    </row>
    <row r="80" spans="3:5" ht="12.75">
      <c r="C80" s="2" t="s">
        <v>29</v>
      </c>
      <c r="D80" t="s">
        <v>23</v>
      </c>
      <c r="E80">
        <f>D28*D28</f>
        <v>0.11902499999999998</v>
      </c>
    </row>
    <row r="82" spans="4:13" ht="12.75">
      <c r="D82" t="s">
        <v>16</v>
      </c>
      <c r="E82" t="s">
        <v>18</v>
      </c>
      <c r="F82" t="s">
        <v>19</v>
      </c>
      <c r="G82" t="s">
        <v>21</v>
      </c>
      <c r="I82" t="s">
        <v>22</v>
      </c>
      <c r="J82" t="s">
        <v>17</v>
      </c>
      <c r="K82" t="s">
        <v>24</v>
      </c>
      <c r="L82" t="s">
        <v>20</v>
      </c>
      <c r="M82" t="s">
        <v>25</v>
      </c>
    </row>
    <row r="83" spans="4:13" ht="12.75">
      <c r="D83">
        <v>0</v>
      </c>
      <c r="E83">
        <f aca="true" t="shared" si="9" ref="E83:F103">D83*D83</f>
        <v>0</v>
      </c>
      <c r="F83">
        <f t="shared" si="9"/>
        <v>0</v>
      </c>
      <c r="G83">
        <f>F83-D$48*E83+D$47</f>
        <v>4.278688524590164</v>
      </c>
      <c r="H83">
        <f aca="true" t="shared" si="10" ref="H83:H103">IF(D$28=0,0,2*(E83+E$80)*LN(D$28))</f>
        <v>-0.2533353956873825</v>
      </c>
      <c r="I83">
        <f>2*(1-E$80)+D$49*(1-E83)*(1-E$80)+H83</f>
        <v>2.0718609157880277</v>
      </c>
      <c r="J83">
        <f>2*(1-E83)+D$49*(1-E83)*(1-E$80)</f>
        <v>2.56324631147541</v>
      </c>
      <c r="K83">
        <f>IF(D83&lt;=D$28,1,0)</f>
        <v>1</v>
      </c>
      <c r="L83">
        <f>I83*K83+J83*(1-K83)</f>
        <v>2.0718609157880277</v>
      </c>
      <c r="M83">
        <f aca="true" t="shared" si="11" ref="M83:M103">G83/4-L83</f>
        <v>-1.0021887846404867</v>
      </c>
    </row>
    <row r="84" spans="4:13" ht="12.75">
      <c r="D84">
        <f>D83+0.05</f>
        <v>0.05</v>
      </c>
      <c r="E84">
        <f t="shared" si="9"/>
        <v>0.0025000000000000005</v>
      </c>
      <c r="F84">
        <f t="shared" si="9"/>
        <v>6.250000000000003E-06</v>
      </c>
      <c r="G84">
        <f aca="true" t="shared" si="12" ref="G84:G103">F84-D$48*E84+D$47</f>
        <v>4.265498053278689</v>
      </c>
      <c r="H84">
        <f t="shared" si="10"/>
        <v>-0.2586564499971364</v>
      </c>
      <c r="I84">
        <f aca="true" t="shared" si="13" ref="I84:I103">2*(1-E$80)+D$49*(1-E84)*(1-E$80)+H84</f>
        <v>2.0651317456995852</v>
      </c>
      <c r="J84">
        <f>2*(1-E84)+D$49*(1-E84)*(1-E$80)+2*(E84+E$80)*LN(D84)</f>
        <v>1.828725466609424</v>
      </c>
      <c r="K84">
        <f aca="true" t="shared" si="14" ref="K84:K103">IF(D84&lt;=D$28,1,0)</f>
        <v>1</v>
      </c>
      <c r="L84">
        <f aca="true" t="shared" si="15" ref="L84:L103">I84*K84+J84*(1-K84)</f>
        <v>2.0651317456995852</v>
      </c>
      <c r="M84">
        <f t="shared" si="11"/>
        <v>-0.998757232379913</v>
      </c>
    </row>
    <row r="85" spans="4:13" ht="12.75">
      <c r="D85">
        <f>D84+0.05</f>
        <v>0.1</v>
      </c>
      <c r="E85">
        <f t="shared" si="9"/>
        <v>0.010000000000000002</v>
      </c>
      <c r="F85">
        <f t="shared" si="9"/>
        <v>0.00010000000000000005</v>
      </c>
      <c r="G85">
        <f t="shared" si="12"/>
        <v>4.226001639344262</v>
      </c>
      <c r="H85">
        <f t="shared" si="10"/>
        <v>-0.274619612926398</v>
      </c>
      <c r="I85">
        <f t="shared" si="13"/>
        <v>2.044944235434258</v>
      </c>
      <c r="J85">
        <f aca="true" t="shared" si="16" ref="J85:J103">2*(1-E85)+D$49*(1-E85)*(1-E$80)+2*(E85+E$80)*LN(D85)</f>
        <v>1.9434317651135427</v>
      </c>
      <c r="K85">
        <f t="shared" si="14"/>
        <v>1</v>
      </c>
      <c r="L85">
        <f t="shared" si="15"/>
        <v>2.044944235434258</v>
      </c>
      <c r="M85">
        <f t="shared" si="11"/>
        <v>-0.9884438255981924</v>
      </c>
    </row>
    <row r="86" spans="4:13" ht="12.75">
      <c r="D86">
        <f aca="true" t="shared" si="17" ref="D86:D98">D85+0.05</f>
        <v>0.15000000000000002</v>
      </c>
      <c r="E86">
        <f t="shared" si="9"/>
        <v>0.022500000000000006</v>
      </c>
      <c r="F86">
        <f t="shared" si="9"/>
        <v>0.0005062500000000003</v>
      </c>
      <c r="G86">
        <f t="shared" si="12"/>
        <v>4.160424282786885</v>
      </c>
      <c r="H86">
        <f t="shared" si="10"/>
        <v>-0.3012248844751675</v>
      </c>
      <c r="I86">
        <f t="shared" si="13"/>
        <v>2.0112983849920463</v>
      </c>
      <c r="J86">
        <f t="shared" si="16"/>
        <v>1.9685934577452646</v>
      </c>
      <c r="K86">
        <f t="shared" si="14"/>
        <v>1</v>
      </c>
      <c r="L86">
        <f t="shared" si="15"/>
        <v>2.0112983849920463</v>
      </c>
      <c r="M86">
        <f t="shared" si="11"/>
        <v>-0.9711923142953249</v>
      </c>
    </row>
    <row r="87" spans="4:13" ht="12.75">
      <c r="D87">
        <f t="shared" si="17"/>
        <v>0.2</v>
      </c>
      <c r="E87">
        <f t="shared" si="9"/>
        <v>0.04000000000000001</v>
      </c>
      <c r="F87">
        <f t="shared" si="9"/>
        <v>0.0016000000000000007</v>
      </c>
      <c r="G87">
        <f t="shared" si="12"/>
        <v>4.069140983606557</v>
      </c>
      <c r="H87">
        <f t="shared" si="10"/>
        <v>-0.33847226464344465</v>
      </c>
      <c r="I87">
        <f t="shared" si="13"/>
        <v>1.964194194372949</v>
      </c>
      <c r="J87">
        <f t="shared" si="16"/>
        <v>1.948834730966728</v>
      </c>
      <c r="K87">
        <f t="shared" si="14"/>
        <v>1</v>
      </c>
      <c r="L87">
        <f t="shared" si="15"/>
        <v>1.964194194372949</v>
      </c>
      <c r="M87">
        <f t="shared" si="11"/>
        <v>-0.9469089484713098</v>
      </c>
    </row>
    <row r="88" spans="4:13" ht="12.75">
      <c r="D88">
        <f t="shared" si="17"/>
        <v>0.25</v>
      </c>
      <c r="E88">
        <f t="shared" si="9"/>
        <v>0.0625</v>
      </c>
      <c r="F88">
        <f t="shared" si="9"/>
        <v>0.00390625</v>
      </c>
      <c r="G88">
        <f t="shared" si="12"/>
        <v>3.9526767418032787</v>
      </c>
      <c r="H88">
        <f t="shared" si="10"/>
        <v>-0.3863617534312297</v>
      </c>
      <c r="I88">
        <f t="shared" si="13"/>
        <v>1.903631663576967</v>
      </c>
      <c r="J88">
        <f t="shared" si="16"/>
        <v>1.8997492492036203</v>
      </c>
      <c r="K88">
        <f t="shared" si="14"/>
        <v>1</v>
      </c>
      <c r="L88">
        <f t="shared" si="15"/>
        <v>1.903631663576967</v>
      </c>
      <c r="M88">
        <f t="shared" si="11"/>
        <v>-0.9154624781261473</v>
      </c>
    </row>
    <row r="89" spans="4:13" ht="12.75">
      <c r="D89">
        <f t="shared" si="17"/>
        <v>0.3</v>
      </c>
      <c r="E89">
        <f t="shared" si="9"/>
        <v>0.09</v>
      </c>
      <c r="F89">
        <f t="shared" si="9"/>
        <v>0.0081</v>
      </c>
      <c r="G89">
        <f t="shared" si="12"/>
        <v>3.8117065573770494</v>
      </c>
      <c r="H89">
        <f t="shared" si="10"/>
        <v>-0.4448933508385224</v>
      </c>
      <c r="I89">
        <f t="shared" si="13"/>
        <v>1.829610792604101</v>
      </c>
      <c r="J89">
        <f t="shared" si="16"/>
        <v>1.8292333125941656</v>
      </c>
      <c r="K89">
        <f t="shared" si="14"/>
        <v>1</v>
      </c>
      <c r="L89">
        <f t="shared" si="15"/>
        <v>1.829610792604101</v>
      </c>
      <c r="M89">
        <f t="shared" si="11"/>
        <v>-0.8766841532598386</v>
      </c>
    </row>
    <row r="90" spans="4:13" ht="12.75">
      <c r="D90">
        <f t="shared" si="17"/>
        <v>0.35</v>
      </c>
      <c r="E90">
        <f t="shared" si="9"/>
        <v>0.12249999999999998</v>
      </c>
      <c r="F90">
        <f t="shared" si="9"/>
        <v>0.015006249999999995</v>
      </c>
      <c r="G90">
        <f t="shared" si="12"/>
        <v>3.6470554303278693</v>
      </c>
      <c r="H90">
        <f t="shared" si="10"/>
        <v>-0.514067056865323</v>
      </c>
      <c r="I90">
        <f t="shared" si="13"/>
        <v>1.7421315814543492</v>
      </c>
      <c r="J90">
        <f t="shared" si="16"/>
        <v>1.7421320610805862</v>
      </c>
      <c r="K90">
        <f t="shared" si="14"/>
        <v>0</v>
      </c>
      <c r="L90">
        <f t="shared" si="15"/>
        <v>1.7421320610805862</v>
      </c>
      <c r="M90">
        <f t="shared" si="11"/>
        <v>-0.8303682034986188</v>
      </c>
    </row>
    <row r="91" spans="4:13" ht="12.75">
      <c r="D91">
        <f t="shared" si="17"/>
        <v>0.39999999999999997</v>
      </c>
      <c r="E91">
        <f t="shared" si="9"/>
        <v>0.15999999999999998</v>
      </c>
      <c r="F91">
        <f t="shared" si="9"/>
        <v>0.02559999999999999</v>
      </c>
      <c r="G91">
        <f t="shared" si="12"/>
        <v>3.4596983606557377</v>
      </c>
      <c r="H91">
        <f t="shared" si="10"/>
        <v>-0.5938828715116312</v>
      </c>
      <c r="I91">
        <f t="shared" si="13"/>
        <v>1.6411940301277133</v>
      </c>
      <c r="J91">
        <f t="shared" si="16"/>
        <v>1.641790858716972</v>
      </c>
      <c r="K91">
        <f t="shared" si="14"/>
        <v>0</v>
      </c>
      <c r="L91">
        <f t="shared" si="15"/>
        <v>1.641790858716972</v>
      </c>
      <c r="M91">
        <f t="shared" si="11"/>
        <v>-0.7768662685530376</v>
      </c>
    </row>
    <row r="92" spans="4:13" ht="12.75">
      <c r="D92">
        <f t="shared" si="17"/>
        <v>0.44999999999999996</v>
      </c>
      <c r="E92">
        <f t="shared" si="9"/>
        <v>0.20249999999999996</v>
      </c>
      <c r="F92">
        <f t="shared" si="9"/>
        <v>0.04100624999999998</v>
      </c>
      <c r="G92">
        <f t="shared" si="12"/>
        <v>3.250760348360656</v>
      </c>
      <c r="H92">
        <f t="shared" si="10"/>
        <v>-0.6843407947774472</v>
      </c>
      <c r="I92">
        <f t="shared" si="13"/>
        <v>1.5267981386241924</v>
      </c>
      <c r="J92">
        <f t="shared" si="16"/>
        <v>1.5307085593488017</v>
      </c>
      <c r="K92">
        <f t="shared" si="14"/>
        <v>0</v>
      </c>
      <c r="L92">
        <f t="shared" si="15"/>
        <v>1.5307085593488017</v>
      </c>
      <c r="M92">
        <f t="shared" si="11"/>
        <v>-0.7180184722586377</v>
      </c>
    </row>
    <row r="93" spans="4:13" ht="12.75">
      <c r="D93">
        <f t="shared" si="17"/>
        <v>0.49999999999999994</v>
      </c>
      <c r="E93">
        <f t="shared" si="9"/>
        <v>0.24999999999999994</v>
      </c>
      <c r="F93">
        <f t="shared" si="9"/>
        <v>0.06249999999999997</v>
      </c>
      <c r="G93">
        <f t="shared" si="12"/>
        <v>3.0215163934426235</v>
      </c>
      <c r="H93">
        <f t="shared" si="10"/>
        <v>-0.785440826662771</v>
      </c>
      <c r="I93">
        <f t="shared" si="13"/>
        <v>1.3989439069437863</v>
      </c>
      <c r="J93">
        <f t="shared" si="16"/>
        <v>1.41085745699429</v>
      </c>
      <c r="K93">
        <f t="shared" si="14"/>
        <v>0</v>
      </c>
      <c r="L93">
        <f t="shared" si="15"/>
        <v>1.41085745699429</v>
      </c>
      <c r="M93">
        <f t="shared" si="11"/>
        <v>-0.6554783586336341</v>
      </c>
    </row>
    <row r="94" spans="4:13" ht="12.75">
      <c r="D94">
        <f t="shared" si="17"/>
        <v>0.5499999999999999</v>
      </c>
      <c r="E94">
        <f t="shared" si="9"/>
        <v>0.30249999999999994</v>
      </c>
      <c r="F94">
        <f t="shared" si="9"/>
        <v>0.09150624999999996</v>
      </c>
      <c r="G94">
        <f t="shared" si="12"/>
        <v>2.77339149590164</v>
      </c>
      <c r="H94">
        <f t="shared" si="10"/>
        <v>-0.8971829671676026</v>
      </c>
      <c r="I94">
        <f t="shared" si="13"/>
        <v>1.257631335086496</v>
      </c>
      <c r="J94">
        <f t="shared" si="16"/>
        <v>1.2838578187670726</v>
      </c>
      <c r="K94">
        <f t="shared" si="14"/>
        <v>0</v>
      </c>
      <c r="L94">
        <f t="shared" si="15"/>
        <v>1.2838578187670726</v>
      </c>
      <c r="M94">
        <f t="shared" si="11"/>
        <v>-0.5905099447916626</v>
      </c>
    </row>
    <row r="95" spans="4:13" ht="12.75">
      <c r="D95">
        <f t="shared" si="17"/>
        <v>0.6</v>
      </c>
      <c r="E95">
        <f t="shared" si="9"/>
        <v>0.36</v>
      </c>
      <c r="F95">
        <f t="shared" si="9"/>
        <v>0.1296</v>
      </c>
      <c r="G95">
        <f t="shared" si="12"/>
        <v>2.5079606557377048</v>
      </c>
      <c r="H95">
        <f t="shared" si="10"/>
        <v>-1.0195672162919422</v>
      </c>
      <c r="I95">
        <f t="shared" si="13"/>
        <v>1.1028604230523202</v>
      </c>
      <c r="J95">
        <f t="shared" si="16"/>
        <v>1.151081150495255</v>
      </c>
      <c r="K95">
        <f t="shared" si="14"/>
        <v>0</v>
      </c>
      <c r="L95">
        <f t="shared" si="15"/>
        <v>1.151081150495255</v>
      </c>
      <c r="M95">
        <f t="shared" si="11"/>
        <v>-0.5240909865608288</v>
      </c>
    </row>
    <row r="96" spans="4:13" ht="12.75">
      <c r="D96">
        <f t="shared" si="17"/>
        <v>0.65</v>
      </c>
      <c r="E96">
        <f t="shared" si="9"/>
        <v>0.42250000000000004</v>
      </c>
      <c r="F96">
        <f t="shared" si="9"/>
        <v>0.17850625000000003</v>
      </c>
      <c r="G96">
        <f t="shared" si="12"/>
        <v>2.2269488729508193</v>
      </c>
      <c r="H96">
        <f t="shared" si="10"/>
        <v>-1.1525935740357893</v>
      </c>
      <c r="I96">
        <f t="shared" si="13"/>
        <v>0.93463117084126</v>
      </c>
      <c r="J96">
        <f t="shared" si="16"/>
        <v>1.0137153076031165</v>
      </c>
      <c r="K96">
        <f t="shared" si="14"/>
        <v>0</v>
      </c>
      <c r="L96">
        <f t="shared" si="15"/>
        <v>1.0137153076031165</v>
      </c>
      <c r="M96">
        <f t="shared" si="11"/>
        <v>-0.4569780893654116</v>
      </c>
    </row>
    <row r="97" spans="4:13" ht="12.75">
      <c r="D97">
        <f t="shared" si="17"/>
        <v>0.7000000000000001</v>
      </c>
      <c r="E97">
        <f t="shared" si="9"/>
        <v>0.4900000000000001</v>
      </c>
      <c r="F97">
        <f t="shared" si="9"/>
        <v>0.2401000000000001</v>
      </c>
      <c r="G97">
        <f t="shared" si="12"/>
        <v>1.9322311475409832</v>
      </c>
      <c r="H97">
        <f t="shared" si="10"/>
        <v>-1.2962620403991443</v>
      </c>
      <c r="I97">
        <f t="shared" si="13"/>
        <v>0.7529435784533149</v>
      </c>
      <c r="J97">
        <f t="shared" si="16"/>
        <v>0.872807703387886</v>
      </c>
      <c r="K97">
        <f t="shared" si="14"/>
        <v>0</v>
      </c>
      <c r="L97">
        <f t="shared" si="15"/>
        <v>0.872807703387886</v>
      </c>
      <c r="M97">
        <f t="shared" si="11"/>
        <v>-0.38974991650264024</v>
      </c>
    </row>
    <row r="98" spans="4:13" ht="12.75">
      <c r="D98">
        <f t="shared" si="17"/>
        <v>0.7500000000000001</v>
      </c>
      <c r="E98">
        <f t="shared" si="9"/>
        <v>0.5625000000000002</v>
      </c>
      <c r="F98">
        <f t="shared" si="9"/>
        <v>0.3164062500000002</v>
      </c>
      <c r="G98">
        <f t="shared" si="12"/>
        <v>1.6258324795081958</v>
      </c>
      <c r="H98">
        <f t="shared" si="10"/>
        <v>-1.4505726153820073</v>
      </c>
      <c r="I98">
        <f t="shared" si="13"/>
        <v>0.5577976458884844</v>
      </c>
      <c r="J98">
        <f t="shared" si="16"/>
        <v>0.7292952124150914</v>
      </c>
      <c r="K98">
        <f t="shared" si="14"/>
        <v>0</v>
      </c>
      <c r="L98">
        <f t="shared" si="15"/>
        <v>0.7292952124150914</v>
      </c>
      <c r="M98">
        <f t="shared" si="11"/>
        <v>-0.3228370925380425</v>
      </c>
    </row>
    <row r="99" spans="4:13" ht="12.75">
      <c r="D99">
        <f>D98+0.05</f>
        <v>0.8000000000000002</v>
      </c>
      <c r="E99">
        <f t="shared" si="9"/>
        <v>0.6400000000000002</v>
      </c>
      <c r="F99">
        <f t="shared" si="9"/>
        <v>0.4096000000000003</v>
      </c>
      <c r="G99">
        <f t="shared" si="12"/>
        <v>1.309927868852458</v>
      </c>
      <c r="H99">
        <f t="shared" si="10"/>
        <v>-1.6155252989843778</v>
      </c>
      <c r="I99">
        <f t="shared" si="13"/>
        <v>0.3491933731467698</v>
      </c>
      <c r="J99">
        <f t="shared" si="16"/>
        <v>0.5840256040586111</v>
      </c>
      <c r="K99">
        <f t="shared" si="14"/>
        <v>0</v>
      </c>
      <c r="L99">
        <f t="shared" si="15"/>
        <v>0.5840256040586111</v>
      </c>
      <c r="M99">
        <f t="shared" si="11"/>
        <v>-0.25654363684549664</v>
      </c>
    </row>
    <row r="100" spans="4:13" ht="12.75">
      <c r="D100">
        <f>D99+0.05</f>
        <v>0.8500000000000002</v>
      </c>
      <c r="E100">
        <f t="shared" si="9"/>
        <v>0.7225000000000004</v>
      </c>
      <c r="F100">
        <f t="shared" si="9"/>
        <v>0.5220062500000006</v>
      </c>
      <c r="G100">
        <f t="shared" si="12"/>
        <v>0.9868423155737691</v>
      </c>
      <c r="H100">
        <f t="shared" si="10"/>
        <v>-1.7911200912062564</v>
      </c>
      <c r="I100">
        <f t="shared" si="13"/>
        <v>0.12713076022816971</v>
      </c>
      <c r="J100">
        <f t="shared" si="16"/>
        <v>0.43777336714319554</v>
      </c>
      <c r="K100">
        <f t="shared" si="14"/>
        <v>0</v>
      </c>
      <c r="L100">
        <f t="shared" si="15"/>
        <v>0.43777336714319554</v>
      </c>
      <c r="M100">
        <f t="shared" si="11"/>
        <v>-0.19106278824975326</v>
      </c>
    </row>
    <row r="101" spans="4:13" ht="12.75">
      <c r="D101">
        <f>D100+0.05</f>
        <v>0.9000000000000002</v>
      </c>
      <c r="E101">
        <f t="shared" si="9"/>
        <v>0.8100000000000004</v>
      </c>
      <c r="F101">
        <f t="shared" si="9"/>
        <v>0.6561000000000006</v>
      </c>
      <c r="G101">
        <f t="shared" si="12"/>
        <v>0.6590508196721299</v>
      </c>
      <c r="H101">
        <f t="shared" si="10"/>
        <v>-1.9773569920476424</v>
      </c>
      <c r="I101">
        <f t="shared" si="13"/>
        <v>-0.10839019286731455</v>
      </c>
      <c r="J101">
        <f t="shared" si="16"/>
        <v>0.2912516930623032</v>
      </c>
      <c r="K101">
        <f t="shared" si="14"/>
        <v>0</v>
      </c>
      <c r="L101">
        <f t="shared" si="15"/>
        <v>0.2912516930623032</v>
      </c>
      <c r="M101">
        <f t="shared" si="11"/>
        <v>-0.12648898814427073</v>
      </c>
    </row>
    <row r="102" spans="4:13" ht="12.75">
      <c r="D102">
        <f>D101+0.05</f>
        <v>0.9500000000000003</v>
      </c>
      <c r="E102">
        <f t="shared" si="9"/>
        <v>0.9025000000000005</v>
      </c>
      <c r="F102">
        <f t="shared" si="9"/>
        <v>0.814506250000001</v>
      </c>
      <c r="G102">
        <f t="shared" si="12"/>
        <v>0.32917838114753906</v>
      </c>
      <c r="H102">
        <f t="shared" si="10"/>
        <v>-2.1742360015085365</v>
      </c>
      <c r="I102">
        <f t="shared" si="13"/>
        <v>-0.3573694861396841</v>
      </c>
      <c r="J102">
        <f t="shared" si="16"/>
        <v>0.14512175027036656</v>
      </c>
      <c r="K102">
        <f t="shared" si="14"/>
        <v>0</v>
      </c>
      <c r="L102">
        <f t="shared" si="15"/>
        <v>0.14512175027036656</v>
      </c>
      <c r="M102">
        <f t="shared" si="11"/>
        <v>-0.06282715498348179</v>
      </c>
    </row>
    <row r="103" spans="4:13" ht="12.75">
      <c r="D103">
        <f>D102+0.05</f>
        <v>1.0000000000000002</v>
      </c>
      <c r="E103">
        <f t="shared" si="9"/>
        <v>1.0000000000000004</v>
      </c>
      <c r="F103">
        <f t="shared" si="9"/>
        <v>1.0000000000000009</v>
      </c>
      <c r="G103">
        <f t="shared" si="12"/>
        <v>0</v>
      </c>
      <c r="H103">
        <f t="shared" si="10"/>
        <v>-2.3817571195889378</v>
      </c>
      <c r="I103">
        <f t="shared" si="13"/>
        <v>-0.6198071195889379</v>
      </c>
      <c r="J103">
        <f t="shared" si="16"/>
        <v>-6.413631010617358E-16</v>
      </c>
      <c r="K103">
        <f t="shared" si="14"/>
        <v>0</v>
      </c>
      <c r="L103">
        <f t="shared" si="15"/>
        <v>-6.413631010617358E-16</v>
      </c>
      <c r="M103">
        <f t="shared" si="11"/>
        <v>6.413631010617358E-16</v>
      </c>
    </row>
    <row r="109" spans="11:12" ht="12.75">
      <c r="K109" t="s">
        <v>26</v>
      </c>
      <c r="L109">
        <f>M114</f>
        <v>1.069672131147541</v>
      </c>
    </row>
    <row r="110" spans="11:12" ht="12.75">
      <c r="K110" t="s">
        <v>27</v>
      </c>
      <c r="L110">
        <f>M134-M114-L111</f>
        <v>-1.3195721311475412</v>
      </c>
    </row>
    <row r="111" spans="11:12" ht="12.75">
      <c r="K111" t="s">
        <v>28</v>
      </c>
      <c r="L111">
        <f>(0.51*M114+0.49*M134-M128)*4</f>
        <v>0.24990000000000023</v>
      </c>
    </row>
    <row r="112" spans="3:5" ht="12.75">
      <c r="C112" s="2" t="s">
        <v>34</v>
      </c>
      <c r="D112" t="s">
        <v>23</v>
      </c>
      <c r="E112">
        <f>D29*D29</f>
        <v>1</v>
      </c>
    </row>
    <row r="113" spans="4:13" ht="12.75">
      <c r="D113" t="s">
        <v>16</v>
      </c>
      <c r="E113" t="s">
        <v>18</v>
      </c>
      <c r="F113" t="s">
        <v>19</v>
      </c>
      <c r="G113" t="s">
        <v>21</v>
      </c>
      <c r="I113" t="s">
        <v>22</v>
      </c>
      <c r="J113" t="s">
        <v>17</v>
      </c>
      <c r="K113" t="s">
        <v>24</v>
      </c>
      <c r="L113" t="s">
        <v>20</v>
      </c>
      <c r="M113" t="s">
        <v>25</v>
      </c>
    </row>
    <row r="114" spans="4:13" ht="12.75">
      <c r="D114">
        <v>0</v>
      </c>
      <c r="E114">
        <f aca="true" t="shared" si="18" ref="E114:F134">D114*D114</f>
        <v>0</v>
      </c>
      <c r="F114">
        <f t="shared" si="18"/>
        <v>0</v>
      </c>
      <c r="G114">
        <f>F114-D$48*E114+D$47</f>
        <v>4.278688524590164</v>
      </c>
      <c r="H114">
        <f>IF(D$29=0,0,2*(E114+E$112)*LN(D$29))</f>
        <v>0</v>
      </c>
      <c r="I114">
        <f>2*(1-E$112)+D$49*(1-E114)*(1-E$112)+H114</f>
        <v>0</v>
      </c>
      <c r="J114">
        <f>2*(1-E114)+D$49*(1-E114)*(1-E$112)</f>
        <v>2</v>
      </c>
      <c r="K114">
        <f>IF(D114&lt;=D$29,1,0)</f>
        <v>1</v>
      </c>
      <c r="L114">
        <f>I114*K114+J114*(1-K114)</f>
        <v>0</v>
      </c>
      <c r="M114">
        <f aca="true" t="shared" si="19" ref="M114:M134">G114/4-L114</f>
        <v>1.069672131147541</v>
      </c>
    </row>
    <row r="115" spans="4:13" ht="12.75">
      <c r="D115">
        <f>D114+0.05</f>
        <v>0.05</v>
      </c>
      <c r="E115">
        <f t="shared" si="18"/>
        <v>0.0025000000000000005</v>
      </c>
      <c r="F115">
        <f t="shared" si="18"/>
        <v>6.250000000000003E-06</v>
      </c>
      <c r="G115">
        <f aca="true" t="shared" si="20" ref="G115:G134">F115-D$48*E115+D$47</f>
        <v>4.265498053278689</v>
      </c>
      <c r="H115">
        <f aca="true" t="shared" si="21" ref="H115:H134">IF(D$29=0,0,2*(E115+E$112)*LN(D$29))</f>
        <v>0</v>
      </c>
      <c r="I115">
        <f aca="true" t="shared" si="22" ref="I115:I134">2*(1-E$112)+D$49*(1-E115)*(1-E$112)+H115</f>
        <v>0</v>
      </c>
      <c r="J115">
        <f>2*(1-E115)+D$49*(1-E115)*(1-E$112)+2*(E115+E$112)*LN(D115)</f>
        <v>-4.011443208475751</v>
      </c>
      <c r="K115">
        <f aca="true" t="shared" si="23" ref="K115:K134">IF(D115&lt;=D$29,1,0)</f>
        <v>1</v>
      </c>
      <c r="L115">
        <f aca="true" t="shared" si="24" ref="L115:L134">I115*K115+J115*(1-K115)</f>
        <v>0</v>
      </c>
      <c r="M115">
        <f t="shared" si="19"/>
        <v>1.0663745133196723</v>
      </c>
    </row>
    <row r="116" spans="4:13" ht="12.75">
      <c r="D116">
        <f>D115+0.05</f>
        <v>0.1</v>
      </c>
      <c r="E116">
        <f t="shared" si="18"/>
        <v>0.010000000000000002</v>
      </c>
      <c r="F116">
        <f t="shared" si="18"/>
        <v>0.00010000000000000005</v>
      </c>
      <c r="G116">
        <f t="shared" si="20"/>
        <v>4.226001639344262</v>
      </c>
      <c r="H116">
        <f t="shared" si="21"/>
        <v>0</v>
      </c>
      <c r="I116">
        <f t="shared" si="22"/>
        <v>0</v>
      </c>
      <c r="J116">
        <f aca="true" t="shared" si="25" ref="J116:J134">2*(1-E116)+D$49*(1-E116)*(1-E$112)+2*(E116+E$112)*LN(D116)</f>
        <v>-2.6712218878479717</v>
      </c>
      <c r="K116">
        <f t="shared" si="23"/>
        <v>1</v>
      </c>
      <c r="L116">
        <f t="shared" si="24"/>
        <v>0</v>
      </c>
      <c r="M116">
        <f t="shared" si="19"/>
        <v>1.0565004098360655</v>
      </c>
    </row>
    <row r="117" spans="4:13" ht="12.75">
      <c r="D117">
        <f aca="true" t="shared" si="26" ref="D117:D129">D116+0.05</f>
        <v>0.15000000000000002</v>
      </c>
      <c r="E117">
        <f t="shared" si="18"/>
        <v>0.022500000000000006</v>
      </c>
      <c r="F117">
        <f t="shared" si="18"/>
        <v>0.0005062500000000003</v>
      </c>
      <c r="G117">
        <f t="shared" si="20"/>
        <v>4.160424282786885</v>
      </c>
      <c r="H117">
        <f t="shared" si="21"/>
        <v>0</v>
      </c>
      <c r="I117">
        <f t="shared" si="22"/>
        <v>0</v>
      </c>
      <c r="J117">
        <f t="shared" si="25"/>
        <v>-1.9246103690916265</v>
      </c>
      <c r="K117">
        <f t="shared" si="23"/>
        <v>1</v>
      </c>
      <c r="L117">
        <f t="shared" si="24"/>
        <v>0</v>
      </c>
      <c r="M117">
        <f t="shared" si="19"/>
        <v>1.0401060706967213</v>
      </c>
    </row>
    <row r="118" spans="4:13" ht="12.75">
      <c r="D118">
        <f t="shared" si="26"/>
        <v>0.2</v>
      </c>
      <c r="E118">
        <f t="shared" si="18"/>
        <v>0.04000000000000001</v>
      </c>
      <c r="F118">
        <f t="shared" si="18"/>
        <v>0.0016000000000000007</v>
      </c>
      <c r="G118">
        <f t="shared" si="20"/>
        <v>4.069140983606557</v>
      </c>
      <c r="H118">
        <f t="shared" si="21"/>
        <v>0</v>
      </c>
      <c r="I118">
        <f t="shared" si="22"/>
        <v>0</v>
      </c>
      <c r="J118">
        <f t="shared" si="25"/>
        <v>-1.4276308578629289</v>
      </c>
      <c r="K118">
        <f t="shared" si="23"/>
        <v>1</v>
      </c>
      <c r="L118">
        <f t="shared" si="24"/>
        <v>0</v>
      </c>
      <c r="M118">
        <f t="shared" si="19"/>
        <v>1.0172852459016393</v>
      </c>
    </row>
    <row r="119" spans="4:13" ht="12.75">
      <c r="D119">
        <f t="shared" si="26"/>
        <v>0.25</v>
      </c>
      <c r="E119">
        <f t="shared" si="18"/>
        <v>0.0625</v>
      </c>
      <c r="F119">
        <f t="shared" si="18"/>
        <v>0.00390625</v>
      </c>
      <c r="G119">
        <f t="shared" si="20"/>
        <v>3.9526767418032787</v>
      </c>
      <c r="H119">
        <f t="shared" si="21"/>
        <v>0</v>
      </c>
      <c r="I119">
        <f t="shared" si="22"/>
        <v>0</v>
      </c>
      <c r="J119">
        <f t="shared" si="25"/>
        <v>-1.0708755173797675</v>
      </c>
      <c r="K119">
        <f t="shared" si="23"/>
        <v>1</v>
      </c>
      <c r="L119">
        <f t="shared" si="24"/>
        <v>0</v>
      </c>
      <c r="M119">
        <f t="shared" si="19"/>
        <v>0.9881691854508197</v>
      </c>
    </row>
    <row r="120" spans="4:13" ht="12.75">
      <c r="D120">
        <f t="shared" si="26"/>
        <v>0.3</v>
      </c>
      <c r="E120">
        <f t="shared" si="18"/>
        <v>0.09</v>
      </c>
      <c r="F120">
        <f t="shared" si="18"/>
        <v>0.0081</v>
      </c>
      <c r="G120">
        <f t="shared" si="20"/>
        <v>3.8117065573770494</v>
      </c>
      <c r="H120">
        <f t="shared" si="21"/>
        <v>0</v>
      </c>
      <c r="I120">
        <f t="shared" si="22"/>
        <v>0</v>
      </c>
      <c r="J120">
        <f t="shared" si="25"/>
        <v>-0.8046607134305408</v>
      </c>
      <c r="K120">
        <f t="shared" si="23"/>
        <v>1</v>
      </c>
      <c r="L120">
        <f t="shared" si="24"/>
        <v>0</v>
      </c>
      <c r="M120">
        <f t="shared" si="19"/>
        <v>0.9529266393442624</v>
      </c>
    </row>
    <row r="121" spans="4:13" ht="12.75">
      <c r="D121">
        <f t="shared" si="26"/>
        <v>0.35</v>
      </c>
      <c r="E121">
        <f t="shared" si="18"/>
        <v>0.12249999999999998</v>
      </c>
      <c r="F121">
        <f t="shared" si="18"/>
        <v>0.015006249999999995</v>
      </c>
      <c r="G121">
        <f t="shared" si="20"/>
        <v>3.6470554303278693</v>
      </c>
      <c r="H121">
        <f t="shared" si="21"/>
        <v>0</v>
      </c>
      <c r="I121">
        <f t="shared" si="22"/>
        <v>0</v>
      </c>
      <c r="J121">
        <f t="shared" si="25"/>
        <v>-0.6018506694995318</v>
      </c>
      <c r="K121">
        <f t="shared" si="23"/>
        <v>1</v>
      </c>
      <c r="L121">
        <f t="shared" si="24"/>
        <v>0</v>
      </c>
      <c r="M121">
        <f t="shared" si="19"/>
        <v>0.9117638575819673</v>
      </c>
    </row>
    <row r="122" spans="4:13" ht="12.75">
      <c r="D122">
        <f t="shared" si="26"/>
        <v>0.39999999999999997</v>
      </c>
      <c r="E122">
        <f t="shared" si="18"/>
        <v>0.15999999999999998</v>
      </c>
      <c r="F122">
        <f t="shared" si="18"/>
        <v>0.02559999999999999</v>
      </c>
      <c r="G122">
        <f t="shared" si="20"/>
        <v>3.4596983606557377</v>
      </c>
      <c r="H122">
        <f t="shared" si="21"/>
        <v>0</v>
      </c>
      <c r="I122">
        <f t="shared" si="22"/>
        <v>0</v>
      </c>
      <c r="J122">
        <f t="shared" si="25"/>
        <v>-0.4457944979480395</v>
      </c>
      <c r="K122">
        <f t="shared" si="23"/>
        <v>1</v>
      </c>
      <c r="L122">
        <f t="shared" si="24"/>
        <v>0</v>
      </c>
      <c r="M122">
        <f t="shared" si="19"/>
        <v>0.8649245901639344</v>
      </c>
    </row>
    <row r="123" spans="4:13" ht="12.75">
      <c r="D123">
        <f t="shared" si="26"/>
        <v>0.44999999999999996</v>
      </c>
      <c r="E123">
        <f t="shared" si="18"/>
        <v>0.20249999999999996</v>
      </c>
      <c r="F123">
        <f t="shared" si="18"/>
        <v>0.04100624999999998</v>
      </c>
      <c r="G123">
        <f t="shared" si="20"/>
        <v>3.250760348360656</v>
      </c>
      <c r="H123">
        <f t="shared" si="21"/>
        <v>0</v>
      </c>
      <c r="I123">
        <f t="shared" si="22"/>
        <v>0</v>
      </c>
      <c r="J123">
        <f t="shared" si="25"/>
        <v>-0.32541100940374057</v>
      </c>
      <c r="K123">
        <f t="shared" si="23"/>
        <v>1</v>
      </c>
      <c r="L123">
        <f t="shared" si="24"/>
        <v>0</v>
      </c>
      <c r="M123">
        <f t="shared" si="19"/>
        <v>0.812690087090164</v>
      </c>
    </row>
    <row r="124" spans="4:13" ht="12.75">
      <c r="D124">
        <f t="shared" si="26"/>
        <v>0.49999999999999994</v>
      </c>
      <c r="E124">
        <f t="shared" si="18"/>
        <v>0.24999999999999994</v>
      </c>
      <c r="F124">
        <f t="shared" si="18"/>
        <v>0.06249999999999997</v>
      </c>
      <c r="G124">
        <f t="shared" si="20"/>
        <v>3.0215163934426235</v>
      </c>
      <c r="H124">
        <f t="shared" si="21"/>
        <v>0</v>
      </c>
      <c r="I124">
        <f t="shared" si="22"/>
        <v>0</v>
      </c>
      <c r="J124">
        <f t="shared" si="25"/>
        <v>-0.2328679513998635</v>
      </c>
      <c r="K124">
        <f t="shared" si="23"/>
        <v>1</v>
      </c>
      <c r="L124">
        <f t="shared" si="24"/>
        <v>0</v>
      </c>
      <c r="M124">
        <f t="shared" si="19"/>
        <v>0.7553790983606559</v>
      </c>
    </row>
    <row r="125" spans="4:13" ht="12.75">
      <c r="D125">
        <f t="shared" si="26"/>
        <v>0.5499999999999999</v>
      </c>
      <c r="E125">
        <f t="shared" si="18"/>
        <v>0.30249999999999994</v>
      </c>
      <c r="F125">
        <f t="shared" si="18"/>
        <v>0.09150624999999996</v>
      </c>
      <c r="G125">
        <f t="shared" si="20"/>
        <v>2.77339149590164</v>
      </c>
      <c r="H125">
        <f t="shared" si="21"/>
        <v>0</v>
      </c>
      <c r="I125">
        <f t="shared" si="22"/>
        <v>0</v>
      </c>
      <c r="J125">
        <f t="shared" si="25"/>
        <v>-0.16236538696839142</v>
      </c>
      <c r="K125">
        <f t="shared" si="23"/>
        <v>1</v>
      </c>
      <c r="L125">
        <f t="shared" si="24"/>
        <v>0</v>
      </c>
      <c r="M125">
        <f t="shared" si="19"/>
        <v>0.69334787397541</v>
      </c>
    </row>
    <row r="126" spans="4:13" ht="12.75">
      <c r="D126">
        <f t="shared" si="26"/>
        <v>0.6</v>
      </c>
      <c r="E126">
        <f t="shared" si="18"/>
        <v>0.36</v>
      </c>
      <c r="F126">
        <f t="shared" si="18"/>
        <v>0.1296</v>
      </c>
      <c r="G126">
        <f t="shared" si="20"/>
        <v>2.5079606557377048</v>
      </c>
      <c r="H126">
        <f t="shared" si="21"/>
        <v>0</v>
      </c>
      <c r="I126">
        <f t="shared" si="22"/>
        <v>0</v>
      </c>
      <c r="J126">
        <f t="shared" si="25"/>
        <v>-0.10944569664349468</v>
      </c>
      <c r="K126">
        <f t="shared" si="23"/>
        <v>1</v>
      </c>
      <c r="L126">
        <f t="shared" si="24"/>
        <v>0</v>
      </c>
      <c r="M126">
        <f t="shared" si="19"/>
        <v>0.6269901639344262</v>
      </c>
    </row>
    <row r="127" spans="4:13" ht="12.75">
      <c r="D127">
        <f t="shared" si="26"/>
        <v>0.65</v>
      </c>
      <c r="E127">
        <f t="shared" si="18"/>
        <v>0.42250000000000004</v>
      </c>
      <c r="F127">
        <f t="shared" si="18"/>
        <v>0.17850625000000003</v>
      </c>
      <c r="G127">
        <f t="shared" si="20"/>
        <v>2.2269488729508193</v>
      </c>
      <c r="H127">
        <f t="shared" si="21"/>
        <v>0</v>
      </c>
      <c r="I127">
        <f t="shared" si="22"/>
        <v>0</v>
      </c>
      <c r="J127">
        <f t="shared" si="25"/>
        <v>-0.0705773962830325</v>
      </c>
      <c r="K127">
        <f t="shared" si="23"/>
        <v>1</v>
      </c>
      <c r="L127">
        <f t="shared" si="24"/>
        <v>0</v>
      </c>
      <c r="M127">
        <f t="shared" si="19"/>
        <v>0.5567372182377048</v>
      </c>
    </row>
    <row r="128" spans="4:13" ht="12.75">
      <c r="D128">
        <f t="shared" si="26"/>
        <v>0.7000000000000001</v>
      </c>
      <c r="E128">
        <f t="shared" si="18"/>
        <v>0.4900000000000001</v>
      </c>
      <c r="F128">
        <f t="shared" si="18"/>
        <v>0.2401000000000001</v>
      </c>
      <c r="G128">
        <f t="shared" si="20"/>
        <v>1.9322311475409832</v>
      </c>
      <c r="H128">
        <f t="shared" si="21"/>
        <v>0</v>
      </c>
      <c r="I128">
        <f t="shared" si="22"/>
        <v>0</v>
      </c>
      <c r="J128">
        <f t="shared" si="25"/>
        <v>-0.04289133293742253</v>
      </c>
      <c r="K128">
        <f t="shared" si="23"/>
        <v>1</v>
      </c>
      <c r="L128">
        <f t="shared" si="24"/>
        <v>0</v>
      </c>
      <c r="M128">
        <f t="shared" si="19"/>
        <v>0.4830577868852458</v>
      </c>
    </row>
    <row r="129" spans="4:13" ht="12.75">
      <c r="D129">
        <f t="shared" si="26"/>
        <v>0.7500000000000001</v>
      </c>
      <c r="E129">
        <f t="shared" si="18"/>
        <v>0.5625000000000002</v>
      </c>
      <c r="F129">
        <f t="shared" si="18"/>
        <v>0.3164062500000002</v>
      </c>
      <c r="G129">
        <f t="shared" si="20"/>
        <v>1.6258324795081958</v>
      </c>
      <c r="H129">
        <f t="shared" si="21"/>
        <v>0</v>
      </c>
      <c r="I129">
        <f t="shared" si="22"/>
        <v>0</v>
      </c>
      <c r="J129">
        <f t="shared" si="25"/>
        <v>-0.024006476411815525</v>
      </c>
      <c r="K129">
        <f t="shared" si="23"/>
        <v>1</v>
      </c>
      <c r="L129">
        <f t="shared" si="24"/>
        <v>0</v>
      </c>
      <c r="M129">
        <f t="shared" si="19"/>
        <v>0.40645811987704894</v>
      </c>
    </row>
    <row r="130" spans="4:13" ht="12.75">
      <c r="D130">
        <f>D129+0.05</f>
        <v>0.8000000000000002</v>
      </c>
      <c r="E130">
        <f t="shared" si="18"/>
        <v>0.6400000000000002</v>
      </c>
      <c r="F130">
        <f t="shared" si="18"/>
        <v>0.4096000000000003</v>
      </c>
      <c r="G130">
        <f t="shared" si="20"/>
        <v>1.309927868852458</v>
      </c>
      <c r="H130">
        <f t="shared" si="21"/>
        <v>0</v>
      </c>
      <c r="I130">
        <f t="shared" si="22"/>
        <v>0</v>
      </c>
      <c r="J130">
        <f t="shared" si="25"/>
        <v>-0.011910848310607958</v>
      </c>
      <c r="K130">
        <f t="shared" si="23"/>
        <v>1</v>
      </c>
      <c r="L130">
        <f t="shared" si="24"/>
        <v>0</v>
      </c>
      <c r="M130">
        <f t="shared" si="19"/>
        <v>0.3274819672131145</v>
      </c>
    </row>
    <row r="131" spans="4:13" ht="12.75">
      <c r="D131">
        <f>D130+0.05</f>
        <v>0.8500000000000002</v>
      </c>
      <c r="E131">
        <f t="shared" si="18"/>
        <v>0.7225000000000004</v>
      </c>
      <c r="F131">
        <f t="shared" si="18"/>
        <v>0.5220062500000006</v>
      </c>
      <c r="G131">
        <f t="shared" si="20"/>
        <v>0.9868423155737691</v>
      </c>
      <c r="H131">
        <f t="shared" si="21"/>
        <v>0</v>
      </c>
      <c r="I131">
        <f t="shared" si="22"/>
        <v>0</v>
      </c>
      <c r="J131">
        <f t="shared" si="25"/>
        <v>-0.004877712119834676</v>
      </c>
      <c r="K131">
        <f t="shared" si="23"/>
        <v>1</v>
      </c>
      <c r="L131">
        <f t="shared" si="24"/>
        <v>0</v>
      </c>
      <c r="M131">
        <f t="shared" si="19"/>
        <v>0.24671057889344228</v>
      </c>
    </row>
    <row r="132" spans="4:13" ht="12.75">
      <c r="D132">
        <f>D131+0.05</f>
        <v>0.9000000000000002</v>
      </c>
      <c r="E132">
        <f t="shared" si="18"/>
        <v>0.8100000000000004</v>
      </c>
      <c r="F132">
        <f t="shared" si="18"/>
        <v>0.6561000000000006</v>
      </c>
      <c r="G132">
        <f t="shared" si="20"/>
        <v>0.6590508196721299</v>
      </c>
      <c r="H132">
        <f t="shared" si="21"/>
        <v>0</v>
      </c>
      <c r="I132">
        <f t="shared" si="22"/>
        <v>0</v>
      </c>
      <c r="J132">
        <f t="shared" si="25"/>
        <v>-0.001405066681331113</v>
      </c>
      <c r="K132">
        <f t="shared" si="23"/>
        <v>1</v>
      </c>
      <c r="L132">
        <f t="shared" si="24"/>
        <v>0</v>
      </c>
      <c r="M132">
        <f t="shared" si="19"/>
        <v>0.16476270491803247</v>
      </c>
    </row>
    <row r="133" spans="4:13" ht="12.75">
      <c r="D133">
        <f>D132+0.05</f>
        <v>0.9500000000000003</v>
      </c>
      <c r="E133">
        <f t="shared" si="18"/>
        <v>0.9025000000000005</v>
      </c>
      <c r="F133">
        <f t="shared" si="18"/>
        <v>0.814506250000001</v>
      </c>
      <c r="G133">
        <f t="shared" si="20"/>
        <v>0.32917838114753906</v>
      </c>
      <c r="H133">
        <f t="shared" si="21"/>
        <v>0</v>
      </c>
      <c r="I133">
        <f t="shared" si="22"/>
        <v>0</v>
      </c>
      <c r="J133">
        <f t="shared" si="25"/>
        <v>-0.00017098514462973724</v>
      </c>
      <c r="K133">
        <f t="shared" si="23"/>
        <v>1</v>
      </c>
      <c r="L133">
        <f t="shared" si="24"/>
        <v>0</v>
      </c>
      <c r="M133">
        <f t="shared" si="19"/>
        <v>0.08229459528688476</v>
      </c>
    </row>
    <row r="134" spans="4:13" ht="12.75">
      <c r="D134">
        <f>D133+0.05</f>
        <v>1.0000000000000002</v>
      </c>
      <c r="E134">
        <f t="shared" si="18"/>
        <v>1.0000000000000004</v>
      </c>
      <c r="F134">
        <f t="shared" si="18"/>
        <v>1.0000000000000009</v>
      </c>
      <c r="G134">
        <f t="shared" si="20"/>
        <v>0</v>
      </c>
      <c r="H134">
        <f t="shared" si="21"/>
        <v>0</v>
      </c>
      <c r="I134">
        <f t="shared" si="22"/>
        <v>0</v>
      </c>
      <c r="J134">
        <f t="shared" si="25"/>
        <v>0</v>
      </c>
      <c r="K134">
        <f t="shared" si="23"/>
        <v>1</v>
      </c>
      <c r="L134">
        <f t="shared" si="24"/>
        <v>0</v>
      </c>
      <c r="M134">
        <f t="shared" si="19"/>
        <v>0</v>
      </c>
    </row>
  </sheetData>
  <sheetProtection/>
  <printOptions/>
  <pageMargins left="0.75" right="0.75" top="1" bottom="1" header="0.4921259845" footer="0.4921259845"/>
  <pageSetup orientation="portrait" paperSize="9"/>
  <drawing r:id="rId7"/>
  <legacyDrawing r:id="rId6"/>
  <oleObjects>
    <oleObject progId="Equation.3" shapeId="690820" r:id="rId1"/>
    <oleObject progId="Equation.3" shapeId="722319" r:id="rId2"/>
    <oleObject progId="Equation.3" shapeId="723425" r:id="rId3"/>
    <oleObject progId="Equation.3" shapeId="724994" r:id="rId4"/>
    <oleObject progId="Equation.3" shapeId="99921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10">
      <selection activeCell="D19" sqref="D19"/>
    </sheetView>
  </sheetViews>
  <sheetFormatPr defaultColWidth="11.421875" defaultRowHeight="12.75"/>
  <cols>
    <col min="1" max="2" width="11.57421875" style="3" customWidth="1"/>
    <col min="10" max="10" width="14.7109375" style="3" customWidth="1"/>
  </cols>
  <sheetData>
    <row r="2" ht="12.75">
      <c r="J2" s="8" t="s">
        <v>78</v>
      </c>
    </row>
    <row r="3" spans="3:13" ht="12.75">
      <c r="C3" s="5"/>
      <c r="D3" s="5" t="s">
        <v>75</v>
      </c>
      <c r="F3" s="5" t="s">
        <v>76</v>
      </c>
      <c r="H3" s="5" t="s">
        <v>77</v>
      </c>
      <c r="J3" s="3" t="s">
        <v>35</v>
      </c>
      <c r="K3" s="3" t="s">
        <v>36</v>
      </c>
      <c r="L3">
        <v>0.001</v>
      </c>
      <c r="M3" s="3" t="s">
        <v>127</v>
      </c>
    </row>
    <row r="4" spans="1:13" ht="12.75">
      <c r="A4" s="8" t="s">
        <v>74</v>
      </c>
      <c r="B4" s="8" t="s">
        <v>79</v>
      </c>
      <c r="I4" s="8"/>
      <c r="J4" s="3" t="s">
        <v>33</v>
      </c>
      <c r="K4" s="3" t="s">
        <v>30</v>
      </c>
      <c r="L4" s="3" t="s">
        <v>31</v>
      </c>
      <c r="M4" t="s">
        <v>128</v>
      </c>
    </row>
    <row r="5" spans="1:13" ht="12.75">
      <c r="A5" s="3">
        <f>A6-0.05</f>
        <v>-1.0000000000000002</v>
      </c>
      <c r="B5" s="3">
        <f>A5*'optimisaton barillet '!E$9/'optimisaton barillet '!G$29</f>
        <v>-1.0000000000000002</v>
      </c>
      <c r="I5" s="1">
        <f>I45</f>
        <v>2.180634543609902E-16</v>
      </c>
      <c r="J5" s="7">
        <f>I5*'optimisaton barillet '!E$21</f>
        <v>7.890190165911904E-17</v>
      </c>
      <c r="K5" s="1">
        <f>(1-B5*B5)*J$25</f>
        <v>-5.868842414472472E-17</v>
      </c>
      <c r="L5" s="1">
        <f>J5-K5</f>
        <v>1.3759032580384376E-16</v>
      </c>
      <c r="M5" s="1">
        <f>2*L5/L$3</f>
        <v>2.7518065160768754E-13</v>
      </c>
    </row>
    <row r="6" spans="1:13" ht="12.75">
      <c r="A6" s="3">
        <f>A7-0.05</f>
        <v>-0.9500000000000003</v>
      </c>
      <c r="B6" s="3">
        <f>A6*'optimisaton barillet '!E$9/'optimisaton barillet '!G$29</f>
        <v>-0.9500000000000003</v>
      </c>
      <c r="I6" s="1">
        <f>I44</f>
        <v>0.03295320019496012</v>
      </c>
      <c r="J6" s="7">
        <f>I6*'optimisaton barillet '!E$21</f>
        <v>0.011923456723893564</v>
      </c>
      <c r="K6" s="1">
        <f aca="true" t="shared" si="0" ref="K6:K45">(1-B6*B6)*J$25</f>
        <v>0.012885071799070695</v>
      </c>
      <c r="L6" s="1">
        <f aca="true" t="shared" si="1" ref="L6:L45">J6-K6</f>
        <v>-0.0009616150751771309</v>
      </c>
      <c r="M6" s="1">
        <f aca="true" t="shared" si="2" ref="M6:M45">2*L6/L$3</f>
        <v>-1.9232301503542617</v>
      </c>
    </row>
    <row r="7" spans="1:13" ht="12.75">
      <c r="A7" s="3">
        <f>A8-0.05</f>
        <v>-0.9000000000000002</v>
      </c>
      <c r="B7" s="3">
        <f>A7*'optimisaton barillet '!E$9/'optimisaton barillet '!G$29</f>
        <v>-0.9000000000000002</v>
      </c>
      <c r="I7" s="1">
        <f>I43</f>
        <v>0.06573712927684935</v>
      </c>
      <c r="J7" s="7">
        <f>I7*'optimisaton barillet '!E$21</f>
        <v>0.023785666079417282</v>
      </c>
      <c r="K7" s="1">
        <f t="shared" si="0"/>
        <v>0.02510937068536862</v>
      </c>
      <c r="L7" s="1">
        <f t="shared" si="1"/>
        <v>-0.0013237046059513362</v>
      </c>
      <c r="M7" s="1">
        <f t="shared" si="2"/>
        <v>-2.6474092119026724</v>
      </c>
    </row>
    <row r="8" spans="1:13" ht="12.75">
      <c r="A8" s="3">
        <f aca="true" t="shared" si="3" ref="A8:A23">A9-0.05</f>
        <v>-0.8500000000000002</v>
      </c>
      <c r="B8" s="3">
        <f>A8*'optimisaton barillet '!E$9/'optimisaton barillet '!G$29</f>
        <v>-0.8500000000000002</v>
      </c>
      <c r="I8" s="1">
        <f>I42</f>
        <v>0.09786763406475578</v>
      </c>
      <c r="J8" s="7">
        <f>I8*'optimisaton barillet '!E$21</f>
        <v>0.03541144691675307</v>
      </c>
      <c r="K8" s="1">
        <f t="shared" si="0"/>
        <v>0.036672896658893665</v>
      </c>
      <c r="L8" s="1">
        <f t="shared" si="1"/>
        <v>-0.0012614497421405968</v>
      </c>
      <c r="M8" s="1">
        <f t="shared" si="2"/>
        <v>-2.5228994842811936</v>
      </c>
    </row>
    <row r="9" spans="1:13" ht="12.75">
      <c r="A9" s="3">
        <f t="shared" si="3"/>
        <v>-0.8000000000000002</v>
      </c>
      <c r="B9" s="3">
        <f>A9*'optimisaton barillet '!E$9/'optimisaton barillet '!G$29</f>
        <v>-0.8000000000000002</v>
      </c>
      <c r="I9" s="1">
        <f>I41</f>
        <v>0.1289132618331867</v>
      </c>
      <c r="J9" s="7">
        <f>I9*'optimisaton barillet '!E$21</f>
        <v>0.0466446866923427</v>
      </c>
      <c r="K9" s="1">
        <f t="shared" si="0"/>
        <v>0.04757564971964587</v>
      </c>
      <c r="L9" s="1">
        <f t="shared" si="1"/>
        <v>-0.0009309630273031666</v>
      </c>
      <c r="M9" s="1">
        <f t="shared" si="2"/>
        <v>-1.8619260546063332</v>
      </c>
    </row>
    <row r="10" spans="1:13" ht="12.75">
      <c r="A10" s="3">
        <f t="shared" si="3"/>
        <v>-0.7500000000000001</v>
      </c>
      <c r="B10" s="3">
        <f>A10*'optimisaton barillet '!E$9/'optimisaton barillet '!G$29</f>
        <v>-0.7500000000000001</v>
      </c>
      <c r="I10" s="1">
        <f>I40</f>
        <v>0.15849774765591781</v>
      </c>
      <c r="J10" s="7">
        <f>I10*'optimisaton barillet '!E$21</f>
        <v>0.05734924146453527</v>
      </c>
      <c r="K10" s="1">
        <f t="shared" si="0"/>
        <v>0.057817629867625196</v>
      </c>
      <c r="L10" s="1">
        <f t="shared" si="1"/>
        <v>-0.00046838840308992963</v>
      </c>
      <c r="M10" s="1">
        <f t="shared" si="2"/>
        <v>-0.9367768061798593</v>
      </c>
    </row>
    <row r="11" spans="1:13" ht="12.75">
      <c r="A11" s="3">
        <f t="shared" si="3"/>
        <v>-0.7000000000000001</v>
      </c>
      <c r="B11" s="3">
        <f>A11*'optimisaton barillet '!E$9/'optimisaton barillet '!G$29</f>
        <v>-0.7000000000000001</v>
      </c>
      <c r="I11" s="1">
        <f>I39</f>
        <v>0.18630316773336447</v>
      </c>
      <c r="J11" s="7">
        <f>I11*'optimisaton barillet '!E$21</f>
        <v>0.06741007686205826</v>
      </c>
      <c r="K11" s="1">
        <f t="shared" si="0"/>
        <v>0.06739883710283168</v>
      </c>
      <c r="L11" s="1">
        <f t="shared" si="1"/>
        <v>1.1239759226580603E-05</v>
      </c>
      <c r="M11" s="1">
        <f t="shared" si="2"/>
        <v>0.022479518453161207</v>
      </c>
    </row>
    <row r="12" spans="1:13" ht="12.75">
      <c r="A12" s="3">
        <f t="shared" si="3"/>
        <v>-0.65</v>
      </c>
      <c r="B12" s="3">
        <f>A12*'optimisaton barillet '!E$9/'optimisaton barillet '!G$29</f>
        <v>-0.65</v>
      </c>
      <c r="I12" s="1">
        <f>I38</f>
        <v>0.21207401365264517</v>
      </c>
      <c r="J12" s="7">
        <f>I12*'optimisaton barillet '!E$21</f>
        <v>0.07673474227357321</v>
      </c>
      <c r="K12" s="1">
        <f t="shared" si="0"/>
        <v>0.07631927142526528</v>
      </c>
      <c r="L12" s="1">
        <f t="shared" si="1"/>
        <v>0.0004154708483079389</v>
      </c>
      <c r="M12" s="1">
        <f t="shared" si="2"/>
        <v>0.8309416966158778</v>
      </c>
    </row>
    <row r="13" spans="1:13" ht="12.75">
      <c r="A13" s="3">
        <f t="shared" si="3"/>
        <v>-0.6</v>
      </c>
      <c r="B13" s="3">
        <f>A13*'optimisaton barillet '!E$9/'optimisaton barillet '!G$29</f>
        <v>-0.6</v>
      </c>
      <c r="I13" s="1">
        <f>I37</f>
        <v>0.23562257276603946</v>
      </c>
      <c r="J13" s="7">
        <f>I13*'optimisaton barillet '!E$21</f>
        <v>0.08525531763006163</v>
      </c>
      <c r="K13" s="1">
        <f t="shared" si="0"/>
        <v>0.08457893283492604</v>
      </c>
      <c r="L13" s="1">
        <f t="shared" si="1"/>
        <v>0.0006763847951355845</v>
      </c>
      <c r="M13" s="1">
        <f t="shared" si="2"/>
        <v>1.352769590271169</v>
      </c>
    </row>
    <row r="14" spans="1:13" ht="12.75">
      <c r="A14" s="3">
        <f t="shared" si="3"/>
        <v>-0.5499999999999999</v>
      </c>
      <c r="B14" s="3">
        <f>A14*'optimisaton barillet '!E$9/'optimisaton barillet '!G$29</f>
        <v>-0.5499999999999999</v>
      </c>
      <c r="I14" s="1">
        <f>I36</f>
        <v>0.25683621559460523</v>
      </c>
      <c r="J14" s="7">
        <f>I14*'optimisaton barillet '!E$21</f>
        <v>0.09293105020614156</v>
      </c>
      <c r="K14" s="1">
        <f t="shared" si="0"/>
        <v>0.09217782133181393</v>
      </c>
      <c r="L14" s="1">
        <f t="shared" si="1"/>
        <v>0.0007532288743276327</v>
      </c>
      <c r="M14" s="1">
        <f t="shared" si="2"/>
        <v>1.5064577486552655</v>
      </c>
    </row>
    <row r="15" spans="1:13" ht="12.75">
      <c r="A15" s="3">
        <f t="shared" si="3"/>
        <v>-0.49999999999999994</v>
      </c>
      <c r="B15" s="3">
        <f>A15*'optimisaton barillet '!E$9/'optimisaton barillet '!G$29</f>
        <v>-0.49999999999999994</v>
      </c>
      <c r="I15" s="1">
        <f>I35</f>
        <v>0.2756875629825972</v>
      </c>
      <c r="J15" s="7">
        <f>I15*'optimisaton barillet '!E$21</f>
        <v>0.09975203340164265</v>
      </c>
      <c r="K15" s="1">
        <f t="shared" si="0"/>
        <v>0.09911593691592896</v>
      </c>
      <c r="L15" s="1">
        <f t="shared" si="1"/>
        <v>0.0006360964857136941</v>
      </c>
      <c r="M15" s="1">
        <f t="shared" si="2"/>
        <v>1.2721929714273883</v>
      </c>
    </row>
    <row r="16" spans="1:13" ht="12.75">
      <c r="A16" s="3">
        <f t="shared" si="3"/>
        <v>-0.44999999999999996</v>
      </c>
      <c r="B16" s="3">
        <f>A16*'optimisaton barillet '!E$9/'optimisaton barillet '!G$29</f>
        <v>-0.44999999999999996</v>
      </c>
      <c r="I16" s="1">
        <f>I34</f>
        <v>0.2922491769115714</v>
      </c>
      <c r="J16" s="7">
        <f>I16*'optimisaton barillet '!E$21</f>
        <v>0.10574452231900607</v>
      </c>
      <c r="K16" s="1">
        <f t="shared" si="0"/>
        <v>0.10539327958727113</v>
      </c>
      <c r="L16" s="1">
        <f t="shared" si="1"/>
        <v>0.00035124273173493814</v>
      </c>
      <c r="M16" s="1">
        <f t="shared" si="2"/>
        <v>0.7024854634698763</v>
      </c>
    </row>
    <row r="17" spans="1:13" ht="12.75">
      <c r="A17" s="3">
        <f t="shared" si="3"/>
        <v>-0.39999999999999997</v>
      </c>
      <c r="B17" s="3">
        <f>A17*'optimisaton barillet '!E$9/'optimisaton barillet '!G$29</f>
        <v>-0.39999999999999997</v>
      </c>
      <c r="I17" s="1">
        <f>I33</f>
        <v>0.3067156982001638</v>
      </c>
      <c r="J17" s="7">
        <f>I17*'optimisaton barillet '!E$21</f>
        <v>0.11097894384739522</v>
      </c>
      <c r="K17" s="1">
        <f t="shared" si="0"/>
        <v>0.11100984934584043</v>
      </c>
      <c r="L17" s="1">
        <f t="shared" si="1"/>
        <v>-3.09054984452134E-05</v>
      </c>
      <c r="M17" s="1">
        <f t="shared" si="2"/>
        <v>-0.061810996890426795</v>
      </c>
    </row>
    <row r="18" spans="1:13" ht="12.75">
      <c r="A18" s="3">
        <f t="shared" si="3"/>
        <v>-0.35</v>
      </c>
      <c r="B18" s="3">
        <f>A18*'optimisaton barillet '!E$9/'optimisaton barillet '!G$29</f>
        <v>-0.35</v>
      </c>
      <c r="I18" s="1">
        <f>I32</f>
        <v>0.3194389568145679</v>
      </c>
      <c r="J18" s="7">
        <f>I18*'optimisaton barillet '!E$21</f>
        <v>0.11558260062665258</v>
      </c>
      <c r="K18" s="1">
        <f t="shared" si="0"/>
        <v>0.11596564619163688</v>
      </c>
      <c r="L18" s="1">
        <f t="shared" si="1"/>
        <v>-0.000383045564984294</v>
      </c>
      <c r="M18" s="1">
        <f t="shared" si="2"/>
        <v>-0.766091129968588</v>
      </c>
    </row>
    <row r="19" spans="1:13" ht="12.75">
      <c r="A19" s="3">
        <f t="shared" si="3"/>
        <v>-0.3</v>
      </c>
      <c r="B19" s="3">
        <f>A19*'optimisaton barillet '!E$9/'optimisaton barillet '!G$29</f>
        <v>-0.3</v>
      </c>
      <c r="I19" s="1">
        <f>I31</f>
        <v>0.330858969858868</v>
      </c>
      <c r="J19" s="7">
        <f>I19*'optimisaton barillet '!E$21</f>
        <v>0.11971470404951945</v>
      </c>
      <c r="K19" s="1">
        <f t="shared" si="0"/>
        <v>0.12026067012466046</v>
      </c>
      <c r="L19" s="1">
        <f t="shared" si="1"/>
        <v>-0.0005459660751410134</v>
      </c>
      <c r="M19" s="1">
        <f t="shared" si="2"/>
        <v>-1.0919321502820267</v>
      </c>
    </row>
    <row r="20" spans="1:13" ht="12.75">
      <c r="A20" s="3">
        <f t="shared" si="3"/>
        <v>-0.25</v>
      </c>
      <c r="B20" s="3">
        <f>A20*'optimisaton barillet '!E$9/'optimisaton barillet '!G$29</f>
        <v>-0.25</v>
      </c>
      <c r="I20" s="1">
        <f>I30</f>
        <v>0.3409344198346508</v>
      </c>
      <c r="J20" s="7">
        <f>I20*'optimisaton barillet '!E$21</f>
        <v>0.12336030420517213</v>
      </c>
      <c r="K20" s="1">
        <f t="shared" si="0"/>
        <v>0.12389492114491119</v>
      </c>
      <c r="L20" s="1">
        <f t="shared" si="1"/>
        <v>-0.0005346169397390521</v>
      </c>
      <c r="M20" s="1">
        <f t="shared" si="2"/>
        <v>-1.0692338794781042</v>
      </c>
    </row>
    <row r="21" spans="1:13" ht="12.75">
      <c r="A21" s="3">
        <f t="shared" si="3"/>
        <v>-0.2</v>
      </c>
      <c r="B21" s="3">
        <f>A21*'optimisaton barillet '!E$9/'optimisaton barillet '!G$29</f>
        <v>-0.2</v>
      </c>
      <c r="I21" s="1">
        <f>I29</f>
        <v>0.3494592198148365</v>
      </c>
      <c r="J21" s="7">
        <f>I21*'optimisaton barillet '!E$21</f>
        <v>0.12644483265892573</v>
      </c>
      <c r="K21" s="1">
        <f t="shared" si="0"/>
        <v>0.12686839925238905</v>
      </c>
      <c r="L21" s="1">
        <f t="shared" si="1"/>
        <v>-0.0004235665934633204</v>
      </c>
      <c r="M21" s="1">
        <f t="shared" si="2"/>
        <v>-0.8471331869266407</v>
      </c>
    </row>
    <row r="22" spans="1:13" ht="12.75">
      <c r="A22" s="3">
        <f t="shared" si="3"/>
        <v>-0.15000000000000002</v>
      </c>
      <c r="B22" s="3">
        <f>A22*'optimisaton barillet '!E$9/'optimisaton barillet '!G$29</f>
        <v>-0.15000000000000002</v>
      </c>
      <c r="I22" s="1">
        <f>I28</f>
        <v>0.35626461979942553</v>
      </c>
      <c r="J22" s="7">
        <f>I22*'optimisaton barillet '!E$21</f>
        <v>0.12890723059675768</v>
      </c>
      <c r="K22" s="1">
        <f t="shared" si="0"/>
        <v>0.12918110444709408</v>
      </c>
      <c r="L22" s="1">
        <f t="shared" si="1"/>
        <v>-0.00027387385033639244</v>
      </c>
      <c r="M22" s="1">
        <f t="shared" si="2"/>
        <v>-0.5477477006727849</v>
      </c>
    </row>
    <row r="23" spans="1:13" ht="12.75">
      <c r="A23" s="3">
        <f t="shared" si="3"/>
        <v>-0.1</v>
      </c>
      <c r="B23" s="3">
        <f>A23*'optimisaton barillet '!E$9/'optimisaton barillet '!G$29</f>
        <v>-0.1</v>
      </c>
      <c r="I23" s="1">
        <f>I27</f>
        <v>0.3612193697884177</v>
      </c>
      <c r="J23" s="7">
        <f>I23*'optimisaton barillet '!E$21</f>
        <v>0.1307000078299836</v>
      </c>
      <c r="K23" s="1">
        <f t="shared" si="0"/>
        <v>0.13083303672902621</v>
      </c>
      <c r="L23" s="1">
        <f t="shared" si="1"/>
        <v>-0.00013302889904262538</v>
      </c>
      <c r="M23" s="1">
        <f t="shared" si="2"/>
        <v>-0.26605779808525076</v>
      </c>
    </row>
    <row r="24" spans="1:13" ht="12.75">
      <c r="A24" s="3">
        <f>A25-0.05</f>
        <v>-0.05</v>
      </c>
      <c r="B24" s="3">
        <f>A24*'optimisaton barillet '!E$9/'optimisaton barillet '!G$29</f>
        <v>-0.05</v>
      </c>
      <c r="I24" s="1">
        <f>I26</f>
        <v>0.36422971978181323</v>
      </c>
      <c r="J24" s="7">
        <f>I24*'optimisaton barillet '!E$21</f>
        <v>0.1317892427952576</v>
      </c>
      <c r="K24" s="1">
        <f t="shared" si="0"/>
        <v>0.13182419609818552</v>
      </c>
      <c r="L24" s="1">
        <f t="shared" si="1"/>
        <v>-3.495330292790921E-05</v>
      </c>
      <c r="M24" s="1">
        <f t="shared" si="2"/>
        <v>-0.06990660585581843</v>
      </c>
    </row>
    <row r="25" spans="1:13" ht="12.75">
      <c r="A25" s="3">
        <v>0</v>
      </c>
      <c r="B25" s="3">
        <f>A25*'optimisaton barillet '!E$9/'optimisaton barillet '!G$29</f>
        <v>0</v>
      </c>
      <c r="C25">
        <f>'optimisaton barillet '!M53</f>
        <v>-1.569672131147541</v>
      </c>
      <c r="D25" s="1">
        <f>C25*'optimisaton barillet '!F$27</f>
        <v>0</v>
      </c>
      <c r="E25">
        <f>'optimisaton barillet '!M83</f>
        <v>-1.0021887846404867</v>
      </c>
      <c r="F25" s="1">
        <f>E25*'optimisaton barillet '!F$28</f>
        <v>-0.34074418677776547</v>
      </c>
      <c r="G25" s="1">
        <f>'optimisaton barillet '!M114</f>
        <v>1.069672131147541</v>
      </c>
      <c r="H25" s="1">
        <f>G25*'optimisaton barillet '!F$29</f>
        <v>0.705983606557377</v>
      </c>
      <c r="I25" s="1">
        <f>D25+F25+H25</f>
        <v>0.36523941977961155</v>
      </c>
      <c r="J25" s="7">
        <f>I25*'optimisaton barillet '!E$21</f>
        <v>0.13215458255457194</v>
      </c>
      <c r="K25" s="1">
        <f t="shared" si="0"/>
        <v>0.13215458255457194</v>
      </c>
      <c r="L25" s="1">
        <f t="shared" si="1"/>
        <v>0</v>
      </c>
      <c r="M25" s="1">
        <f t="shared" si="2"/>
        <v>0</v>
      </c>
    </row>
    <row r="26" spans="1:13" ht="12.75">
      <c r="A26" s="3">
        <f>A25+0.05</f>
        <v>0.05</v>
      </c>
      <c r="B26" s="3">
        <f>A26*'optimisaton barillet '!E$9/'optimisaton barillet '!G$29</f>
        <v>0.05</v>
      </c>
      <c r="C26">
        <f>'optimisaton barillet '!M54</f>
        <v>-1.5513927269519021</v>
      </c>
      <c r="D26" s="1">
        <f>C26*'optimisaton barillet '!F$27</f>
        <v>0</v>
      </c>
      <c r="E26">
        <f>'optimisaton barillet '!M84</f>
        <v>-0.998757232379913</v>
      </c>
      <c r="F26" s="1">
        <f>E26*'optimisaton barillet '!F$28</f>
        <v>-0.3395774590091704</v>
      </c>
      <c r="G26" s="1">
        <f>'optimisaton barillet '!M115</f>
        <v>1.0663745133196723</v>
      </c>
      <c r="H26" s="1">
        <f>G26*'optimisaton barillet '!F$29</f>
        <v>0.7038071787909836</v>
      </c>
      <c r="I26" s="1">
        <f aca="true" t="shared" si="4" ref="I26:I45">D26+F26+H26</f>
        <v>0.36422971978181323</v>
      </c>
      <c r="J26" s="7">
        <f>I26*'optimisaton barillet '!E$21</f>
        <v>0.1317892427952576</v>
      </c>
      <c r="K26" s="1">
        <f t="shared" si="0"/>
        <v>0.13182419609818552</v>
      </c>
      <c r="L26" s="1">
        <f t="shared" si="1"/>
        <v>-3.495330292790921E-05</v>
      </c>
      <c r="M26" s="1">
        <f t="shared" si="2"/>
        <v>-0.06990660585581843</v>
      </c>
    </row>
    <row r="27" spans="1:13" ht="12.75">
      <c r="A27" s="3">
        <f>A26+0.05</f>
        <v>0.1</v>
      </c>
      <c r="B27" s="3">
        <f>A27*'optimisaton barillet '!E$9/'optimisaton barillet '!G$29</f>
        <v>0.1</v>
      </c>
      <c r="C27">
        <f>'optimisaton barillet '!M55</f>
        <v>-1.510398707976185</v>
      </c>
      <c r="D27" s="1">
        <f>C27*'optimisaton barillet '!F$27</f>
        <v>0</v>
      </c>
      <c r="E27">
        <f>'optimisaton barillet '!M85</f>
        <v>-0.9884438255981924</v>
      </c>
      <c r="F27" s="1">
        <f>E27*'optimisaton barillet '!F$28</f>
        <v>-0.33607090070338547</v>
      </c>
      <c r="G27" s="1">
        <f>'optimisaton barillet '!M116</f>
        <v>1.0565004098360655</v>
      </c>
      <c r="H27" s="1">
        <f>G27*'optimisaton barillet '!F$29</f>
        <v>0.6972902704918031</v>
      </c>
      <c r="I27" s="1">
        <f t="shared" si="4"/>
        <v>0.3612193697884177</v>
      </c>
      <c r="J27" s="7">
        <f>I27*'optimisaton barillet '!E$21</f>
        <v>0.1307000078299836</v>
      </c>
      <c r="K27" s="1">
        <f t="shared" si="0"/>
        <v>0.13083303672902621</v>
      </c>
      <c r="L27" s="1">
        <f t="shared" si="1"/>
        <v>-0.00013302889904262538</v>
      </c>
      <c r="M27" s="1">
        <f t="shared" si="2"/>
        <v>-0.26605779808525076</v>
      </c>
    </row>
    <row r="28" spans="1:13" ht="12.75">
      <c r="A28" s="3">
        <f aca="true" t="shared" si="5" ref="A28:A40">A27+0.05</f>
        <v>0.15000000000000002</v>
      </c>
      <c r="B28" s="3">
        <f>A28*'optimisaton barillet '!E$9/'optimisaton barillet '!G$29</f>
        <v>0.15000000000000002</v>
      </c>
      <c r="C28">
        <f>'optimisaton barillet '!M56</f>
        <v>-1.454482546376857</v>
      </c>
      <c r="D28" s="1">
        <f>C28*'optimisaton barillet '!F$27</f>
        <v>0</v>
      </c>
      <c r="E28">
        <f>'optimisaton barillet '!M86</f>
        <v>-0.9711923142953249</v>
      </c>
      <c r="F28" s="1">
        <f>E28*'optimisaton barillet '!F$28</f>
        <v>-0.3302053868604105</v>
      </c>
      <c r="G28" s="1">
        <f>'optimisaton barillet '!M117</f>
        <v>1.0401060706967213</v>
      </c>
      <c r="H28" s="1">
        <f>G28*'optimisaton barillet '!F$29</f>
        <v>0.686470006659836</v>
      </c>
      <c r="I28" s="1">
        <f t="shared" si="4"/>
        <v>0.35626461979942553</v>
      </c>
      <c r="J28" s="7">
        <f>I28*'optimisaton barillet '!E$21</f>
        <v>0.12890723059675768</v>
      </c>
      <c r="K28" s="1">
        <f t="shared" si="0"/>
        <v>0.12918110444709408</v>
      </c>
      <c r="L28" s="1">
        <f t="shared" si="1"/>
        <v>-0.00027387385033639244</v>
      </c>
      <c r="M28" s="1">
        <f t="shared" si="2"/>
        <v>-0.5477477006727849</v>
      </c>
    </row>
    <row r="29" spans="1:13" ht="12.75">
      <c r="A29" s="3">
        <f t="shared" si="5"/>
        <v>0.2</v>
      </c>
      <c r="B29" s="3">
        <f>A29*'optimisaton barillet '!E$9/'optimisaton barillet '!G$29</f>
        <v>0.2</v>
      </c>
      <c r="C29">
        <f>'optimisaton barillet '!M57</f>
        <v>-1.3877302129069111</v>
      </c>
      <c r="D29" s="1">
        <f>C29*'optimisaton barillet '!F$27</f>
        <v>0</v>
      </c>
      <c r="E29">
        <f>'optimisaton barillet '!M87</f>
        <v>-0.9469089484713098</v>
      </c>
      <c r="F29" s="1">
        <f>E29*'optimisaton barillet '!F$28</f>
        <v>-0.32194904248024536</v>
      </c>
      <c r="G29" s="1">
        <f>'optimisaton barillet '!M118</f>
        <v>1.0172852459016393</v>
      </c>
      <c r="H29" s="1">
        <f>G29*'optimisaton barillet '!F$29</f>
        <v>0.6714082622950819</v>
      </c>
      <c r="I29" s="1">
        <f t="shared" si="4"/>
        <v>0.3494592198148365</v>
      </c>
      <c r="J29" s="7">
        <f>I29*'optimisaton barillet '!E$21</f>
        <v>0.12644483265892573</v>
      </c>
      <c r="K29" s="1">
        <f t="shared" si="0"/>
        <v>0.12686839925238905</v>
      </c>
      <c r="L29" s="1">
        <f t="shared" si="1"/>
        <v>-0.0004235665934633204</v>
      </c>
      <c r="M29" s="1">
        <f t="shared" si="2"/>
        <v>-0.8471331869266407</v>
      </c>
    </row>
    <row r="30" spans="1:13" ht="12.75">
      <c r="A30" s="3">
        <f t="shared" si="5"/>
        <v>0.25</v>
      </c>
      <c r="B30" s="3">
        <f>A30*'optimisaton barillet '!E$9/'optimisaton barillet '!G$29</f>
        <v>0.25</v>
      </c>
      <c r="C30">
        <f>'optimisaton barillet '!M58</f>
        <v>-1.3129292653108333</v>
      </c>
      <c r="D30" s="1">
        <f>C30*'optimisaton barillet '!F$27</f>
        <v>0</v>
      </c>
      <c r="E30">
        <f>'optimisaton barillet '!M88</f>
        <v>-0.9154624781261473</v>
      </c>
      <c r="F30" s="1">
        <f>E30*'optimisaton barillet '!F$28</f>
        <v>-0.3112572425628901</v>
      </c>
      <c r="G30" s="1">
        <f>'optimisaton barillet '!M119</f>
        <v>0.9881691854508197</v>
      </c>
      <c r="H30" s="1">
        <f>G30*'optimisaton barillet '!F$29</f>
        <v>0.6521916623975409</v>
      </c>
      <c r="I30" s="1">
        <f t="shared" si="4"/>
        <v>0.3409344198346508</v>
      </c>
      <c r="J30" s="7">
        <f>I30*'optimisaton barillet '!E$21</f>
        <v>0.12336030420517213</v>
      </c>
      <c r="K30" s="1">
        <f t="shared" si="0"/>
        <v>0.12389492114491119</v>
      </c>
      <c r="L30" s="1">
        <f t="shared" si="1"/>
        <v>-0.0005346169397390521</v>
      </c>
      <c r="M30" s="1">
        <f t="shared" si="2"/>
        <v>-1.0692338794781042</v>
      </c>
    </row>
    <row r="31" spans="1:13" ht="12.75">
      <c r="A31" s="3">
        <f t="shared" si="5"/>
        <v>0.3</v>
      </c>
      <c r="B31" s="3">
        <f>A31*'optimisaton barillet '!E$9/'optimisaton barillet '!G$29</f>
        <v>0.3</v>
      </c>
      <c r="C31">
        <f>'optimisaton barillet '!M59</f>
        <v>-1.2321615345655939</v>
      </c>
      <c r="D31" s="1">
        <f>C31*'optimisaton barillet '!F$27</f>
        <v>0</v>
      </c>
      <c r="E31">
        <f>'optimisaton barillet '!M89</f>
        <v>-0.8766841532598386</v>
      </c>
      <c r="F31" s="1">
        <f>E31*'optimisaton barillet '!F$28</f>
        <v>-0.2980726121083451</v>
      </c>
      <c r="G31" s="1">
        <f>'optimisaton barillet '!M120</f>
        <v>0.9529266393442624</v>
      </c>
      <c r="H31" s="1">
        <f>G31*'optimisaton barillet '!F$29</f>
        <v>0.6289315819672131</v>
      </c>
      <c r="I31" s="1">
        <f t="shared" si="4"/>
        <v>0.330858969858868</v>
      </c>
      <c r="J31" s="7">
        <f>I31*'optimisaton barillet '!E$21</f>
        <v>0.11971470404951945</v>
      </c>
      <c r="K31" s="1">
        <f t="shared" si="0"/>
        <v>0.12026067012466046</v>
      </c>
      <c r="L31" s="1">
        <f t="shared" si="1"/>
        <v>-0.0005459660751410134</v>
      </c>
      <c r="M31" s="1">
        <f t="shared" si="2"/>
        <v>-1.0919321502820267</v>
      </c>
    </row>
    <row r="32" spans="1:13" ht="12.75">
      <c r="A32" s="3">
        <f t="shared" si="5"/>
        <v>0.35</v>
      </c>
      <c r="B32" s="3">
        <f>A32*'optimisaton barillet '!E$9/'optimisaton barillet '!G$29</f>
        <v>0.35</v>
      </c>
      <c r="C32">
        <f>'optimisaton barillet '!M60</f>
        <v>-1.1470543120797916</v>
      </c>
      <c r="D32" s="1">
        <f>C32*'optimisaton barillet '!F$27</f>
        <v>0</v>
      </c>
      <c r="E32">
        <f>'optimisaton barillet '!M90</f>
        <v>-0.8303682034986188</v>
      </c>
      <c r="F32" s="1">
        <f>E32*'optimisaton barillet '!F$28</f>
        <v>-0.2823251891895304</v>
      </c>
      <c r="G32" s="1">
        <f>'optimisaton barillet '!M121</f>
        <v>0.9117638575819673</v>
      </c>
      <c r="H32" s="1">
        <f>G32*'optimisaton barillet '!F$29</f>
        <v>0.6017641460040983</v>
      </c>
      <c r="I32" s="1">
        <f t="shared" si="4"/>
        <v>0.3194389568145679</v>
      </c>
      <c r="J32" s="7">
        <f>I32*'optimisaton barillet '!E$21</f>
        <v>0.11558260062665258</v>
      </c>
      <c r="K32" s="1">
        <f t="shared" si="0"/>
        <v>0.11596564619163688</v>
      </c>
      <c r="L32" s="1">
        <f t="shared" si="1"/>
        <v>-0.000383045564984294</v>
      </c>
      <c r="M32" s="1">
        <f t="shared" si="2"/>
        <v>-0.766091129968588</v>
      </c>
    </row>
    <row r="33" spans="1:13" ht="12.75">
      <c r="A33" s="3">
        <f t="shared" si="5"/>
        <v>0.39999999999999997</v>
      </c>
      <c r="B33" s="3">
        <f>A33*'optimisaton barillet '!E$9/'optimisaton barillet '!G$29</f>
        <v>0.39999999999999997</v>
      </c>
      <c r="C33">
        <f>'optimisaton barillet '!M61</f>
        <v>-1.0589115559642053</v>
      </c>
      <c r="D33" s="1">
        <f>C33*'optimisaton barillet '!F$27</f>
        <v>0</v>
      </c>
      <c r="E33">
        <f>'optimisaton barillet '!M91</f>
        <v>-0.7768662685530376</v>
      </c>
      <c r="F33" s="1">
        <f>E33*'optimisaton barillet '!F$28</f>
        <v>-0.2641345313080328</v>
      </c>
      <c r="G33" s="1">
        <f>'optimisaton barillet '!M122</f>
        <v>0.8649245901639344</v>
      </c>
      <c r="H33" s="1">
        <f>G33*'optimisaton barillet '!F$29</f>
        <v>0.5708502295081966</v>
      </c>
      <c r="I33" s="1">
        <f t="shared" si="4"/>
        <v>0.3067156982001638</v>
      </c>
      <c r="J33" s="7">
        <f>I33*'optimisaton barillet '!E$21</f>
        <v>0.11097894384739522</v>
      </c>
      <c r="K33" s="1">
        <f t="shared" si="0"/>
        <v>0.11100984934584043</v>
      </c>
      <c r="L33" s="1">
        <f t="shared" si="1"/>
        <v>-3.09054984452134E-05</v>
      </c>
      <c r="M33" s="1">
        <f t="shared" si="2"/>
        <v>-0.061810996890426795</v>
      </c>
    </row>
    <row r="34" spans="1:13" ht="12.75">
      <c r="A34" s="3">
        <f t="shared" si="5"/>
        <v>0.44999999999999996</v>
      </c>
      <c r="B34" s="3">
        <f>A34*'optimisaton barillet '!E$9/'optimisaton barillet '!G$29</f>
        <v>0.44999999999999996</v>
      </c>
      <c r="C34">
        <f>'optimisaton barillet '!M62</f>
        <v>-0.9687913451219669</v>
      </c>
      <c r="D34" s="1">
        <f>C34*'optimisaton barillet '!F$27</f>
        <v>0</v>
      </c>
      <c r="E34">
        <f>'optimisaton barillet '!M92</f>
        <v>-0.7180184722586377</v>
      </c>
      <c r="F34" s="1">
        <f>E34*'optimisaton barillet '!F$28</f>
        <v>-0.24412628056793684</v>
      </c>
      <c r="G34" s="1">
        <f>'optimisaton barillet '!M123</f>
        <v>0.812690087090164</v>
      </c>
      <c r="H34" s="1">
        <f>G34*'optimisaton barillet '!F$29</f>
        <v>0.5363754574795082</v>
      </c>
      <c r="I34" s="1">
        <f t="shared" si="4"/>
        <v>0.2922491769115714</v>
      </c>
      <c r="J34" s="7">
        <f>I34*'optimisaton barillet '!E$21</f>
        <v>0.10574452231900607</v>
      </c>
      <c r="K34" s="1">
        <f t="shared" si="0"/>
        <v>0.10539327958727113</v>
      </c>
      <c r="L34" s="1">
        <f t="shared" si="1"/>
        <v>0.00035124273173493814</v>
      </c>
      <c r="M34" s="1">
        <f t="shared" si="2"/>
        <v>0.7024854634698763</v>
      </c>
    </row>
    <row r="35" spans="1:13" ht="12.75">
      <c r="A35" s="3">
        <f t="shared" si="5"/>
        <v>0.49999999999999994</v>
      </c>
      <c r="B35" s="3">
        <f>A35*'optimisaton barillet '!E$9/'optimisaton barillet '!G$29</f>
        <v>0.49999999999999994</v>
      </c>
      <c r="C35">
        <f>'optimisaton barillet '!M63</f>
        <v>-0.8775555080806829</v>
      </c>
      <c r="D35" s="1">
        <f>C35*'optimisaton barillet '!F$27</f>
        <v>0</v>
      </c>
      <c r="E35">
        <f>'optimisaton barillet '!M93</f>
        <v>-0.6554783586336341</v>
      </c>
      <c r="F35" s="1">
        <f>E35*'optimisaton barillet '!F$28</f>
        <v>-0.22286264193543562</v>
      </c>
      <c r="G35" s="1">
        <f>'optimisaton barillet '!M124</f>
        <v>0.7553790983606559</v>
      </c>
      <c r="H35" s="1">
        <f>G35*'optimisaton barillet '!F$29</f>
        <v>0.4985502049180328</v>
      </c>
      <c r="I35" s="1">
        <f t="shared" si="4"/>
        <v>0.2756875629825972</v>
      </c>
      <c r="J35" s="7">
        <f>I35*'optimisaton barillet '!E$21</f>
        <v>0.09975203340164265</v>
      </c>
      <c r="K35" s="1">
        <f t="shared" si="0"/>
        <v>0.09911593691592896</v>
      </c>
      <c r="L35" s="1">
        <f t="shared" si="1"/>
        <v>0.0006360964857136941</v>
      </c>
      <c r="M35" s="1">
        <f t="shared" si="2"/>
        <v>1.2721929714273883</v>
      </c>
    </row>
    <row r="36" spans="1:13" ht="12.75">
      <c r="A36" s="3">
        <f t="shared" si="5"/>
        <v>0.5499999999999999</v>
      </c>
      <c r="B36" s="3">
        <f>A36*'optimisaton barillet '!E$9/'optimisaton barillet '!G$29</f>
        <v>0.5499999999999999</v>
      </c>
      <c r="C36">
        <f>'optimisaton barillet '!M64</f>
        <v>-0.7859033635182593</v>
      </c>
      <c r="D36" s="1">
        <f>C36*'optimisaton barillet '!F$27</f>
        <v>0</v>
      </c>
      <c r="E36">
        <f>'optimisaton barillet '!M94</f>
        <v>-0.5905099447916626</v>
      </c>
      <c r="F36" s="1">
        <f>E36*'optimisaton barillet '!F$28</f>
        <v>-0.2007733812291653</v>
      </c>
      <c r="G36" s="1">
        <f>'optimisaton barillet '!M125</f>
        <v>0.69334787397541</v>
      </c>
      <c r="H36" s="1">
        <f>G36*'optimisaton barillet '!F$29</f>
        <v>0.4576095968237705</v>
      </c>
      <c r="I36" s="1">
        <f t="shared" si="4"/>
        <v>0.25683621559460523</v>
      </c>
      <c r="J36" s="7">
        <f>I36*'optimisaton barillet '!E$21</f>
        <v>0.09293105020614156</v>
      </c>
      <c r="K36" s="1">
        <f t="shared" si="0"/>
        <v>0.09217782133181393</v>
      </c>
      <c r="L36" s="1">
        <f t="shared" si="1"/>
        <v>0.0007532288743276327</v>
      </c>
      <c r="M36" s="1">
        <f t="shared" si="2"/>
        <v>1.5064577486552655</v>
      </c>
    </row>
    <row r="37" spans="1:13" ht="12.75">
      <c r="A37" s="3">
        <f t="shared" si="5"/>
        <v>0.6</v>
      </c>
      <c r="B37" s="3">
        <f>A37*'optimisaton barillet '!E$9/'optimisaton barillet '!G$29</f>
        <v>0.6</v>
      </c>
      <c r="C37">
        <f>'optimisaton barillet '!M65</f>
        <v>-0.694395714822913</v>
      </c>
      <c r="D37" s="1">
        <f>C37*'optimisaton barillet '!F$27</f>
        <v>0</v>
      </c>
      <c r="E37">
        <f>'optimisaton barillet '!M95</f>
        <v>-0.5240909865608288</v>
      </c>
      <c r="F37" s="1">
        <f>E37*'optimisaton barillet '!F$28</f>
        <v>-0.1781909354306818</v>
      </c>
      <c r="G37" s="1">
        <f>'optimisaton barillet '!M126</f>
        <v>0.6269901639344262</v>
      </c>
      <c r="H37" s="1">
        <f>G37*'optimisaton barillet '!F$29</f>
        <v>0.41381350819672125</v>
      </c>
      <c r="I37" s="1">
        <f t="shared" si="4"/>
        <v>0.23562257276603946</v>
      </c>
      <c r="J37" s="7">
        <f>I37*'optimisaton barillet '!E$21</f>
        <v>0.08525531763006163</v>
      </c>
      <c r="K37" s="1">
        <f t="shared" si="0"/>
        <v>0.08457893283492604</v>
      </c>
      <c r="L37" s="1">
        <f t="shared" si="1"/>
        <v>0.0006763847951355845</v>
      </c>
      <c r="M37" s="1">
        <f t="shared" si="2"/>
        <v>1.352769590271169</v>
      </c>
    </row>
    <row r="38" spans="1:13" ht="12.75">
      <c r="A38" s="3">
        <f t="shared" si="5"/>
        <v>0.65</v>
      </c>
      <c r="B38" s="3">
        <f>A38*'optimisaton barillet '!E$9/'optimisaton barillet '!G$29</f>
        <v>0.65</v>
      </c>
      <c r="C38">
        <f>'optimisaton barillet '!M66</f>
        <v>-0.603472529139581</v>
      </c>
      <c r="D38" s="1">
        <f>C38*'optimisaton barillet '!F$27</f>
        <v>0</v>
      </c>
      <c r="E38">
        <f>'optimisaton barillet '!M96</f>
        <v>-0.4569780893654116</v>
      </c>
      <c r="F38" s="1">
        <f>E38*'optimisaton barillet '!F$28</f>
        <v>-0.15537255038423997</v>
      </c>
      <c r="G38" s="1">
        <f>'optimisaton barillet '!M127</f>
        <v>0.5567372182377048</v>
      </c>
      <c r="H38" s="1">
        <f>G38*'optimisaton barillet '!F$29</f>
        <v>0.36744656403688514</v>
      </c>
      <c r="I38" s="1">
        <f t="shared" si="4"/>
        <v>0.21207401365264517</v>
      </c>
      <c r="J38" s="7">
        <f>I38*'optimisaton barillet '!E$21</f>
        <v>0.07673474227357321</v>
      </c>
      <c r="K38" s="1">
        <f t="shared" si="0"/>
        <v>0.07631927142526528</v>
      </c>
      <c r="L38" s="1">
        <f t="shared" si="1"/>
        <v>0.0004154708483079389</v>
      </c>
      <c r="M38" s="1">
        <f t="shared" si="2"/>
        <v>0.8309416966158778</v>
      </c>
    </row>
    <row r="39" spans="1:13" ht="12.75">
      <c r="A39" s="3">
        <f t="shared" si="5"/>
        <v>0.7000000000000001</v>
      </c>
      <c r="B39" s="3">
        <f>A39*'optimisaton barillet '!E$9/'optimisaton barillet '!G$29</f>
        <v>0.7000000000000001</v>
      </c>
      <c r="C39">
        <f>'optimisaton barillet '!M67</f>
        <v>-0.5134663418252882</v>
      </c>
      <c r="D39" s="1">
        <f>C39*'optimisaton barillet '!F$27</f>
        <v>0</v>
      </c>
      <c r="E39">
        <f>'optimisaton barillet '!M97</f>
        <v>-0.38974991650264024</v>
      </c>
      <c r="F39" s="1">
        <f>E39*'optimisaton barillet '!F$28</f>
        <v>-0.1325149716108977</v>
      </c>
      <c r="G39" s="1">
        <f>'optimisaton barillet '!M128</f>
        <v>0.4830577868852458</v>
      </c>
      <c r="H39" s="1">
        <f>G39*'optimisaton barillet '!F$29</f>
        <v>0.3188181393442622</v>
      </c>
      <c r="I39" s="1">
        <f t="shared" si="4"/>
        <v>0.18630316773336447</v>
      </c>
      <c r="J39" s="7">
        <f>I39*'optimisaton barillet '!E$21</f>
        <v>0.06741007686205826</v>
      </c>
      <c r="K39" s="1">
        <f t="shared" si="0"/>
        <v>0.06739883710283168</v>
      </c>
      <c r="L39" s="1">
        <f t="shared" si="1"/>
        <v>1.1239759226580603E-05</v>
      </c>
      <c r="M39" s="1">
        <f t="shared" si="2"/>
        <v>0.022479518453161207</v>
      </c>
    </row>
    <row r="40" spans="1:13" ht="12.75">
      <c r="A40" s="3">
        <f t="shared" si="5"/>
        <v>0.7500000000000001</v>
      </c>
      <c r="B40" s="3">
        <f>A40*'optimisaton barillet '!E$9/'optimisaton barillet '!G$29</f>
        <v>0.7500000000000001</v>
      </c>
      <c r="C40">
        <f>'optimisaton barillet '!M68</f>
        <v>-0.42461266336879544</v>
      </c>
      <c r="D40" s="1">
        <f>C40*'optimisaton barillet '!F$27</f>
        <v>0</v>
      </c>
      <c r="E40">
        <f>'optimisaton barillet '!M98</f>
        <v>-0.3228370925380425</v>
      </c>
      <c r="F40" s="1">
        <f>E40*'optimisaton barillet '!F$28</f>
        <v>-0.10976461146293445</v>
      </c>
      <c r="G40" s="1">
        <f>'optimisaton barillet '!M129</f>
        <v>0.40645811987704894</v>
      </c>
      <c r="H40" s="1">
        <f>G40*'optimisaton barillet '!F$29</f>
        <v>0.26826235911885227</v>
      </c>
      <c r="I40" s="1">
        <f t="shared" si="4"/>
        <v>0.15849774765591781</v>
      </c>
      <c r="J40" s="7">
        <f>I40*'optimisaton barillet '!E$21</f>
        <v>0.05734924146453527</v>
      </c>
      <c r="K40" s="1">
        <f t="shared" si="0"/>
        <v>0.057817629867625196</v>
      </c>
      <c r="L40" s="1">
        <f t="shared" si="1"/>
        <v>-0.00046838840308992963</v>
      </c>
      <c r="M40" s="1">
        <f t="shared" si="2"/>
        <v>-0.9367768061798593</v>
      </c>
    </row>
    <row r="41" spans="1:13" ht="12.75">
      <c r="A41" s="3">
        <f>A40+0.05</f>
        <v>0.8000000000000002</v>
      </c>
      <c r="B41" s="3">
        <f>A41*'optimisaton barillet '!E$9/'optimisaton barillet '!G$29</f>
        <v>0.8000000000000002</v>
      </c>
      <c r="C41">
        <f>'optimisaton barillet '!M69</f>
        <v>-0.337058221530926</v>
      </c>
      <c r="D41" s="1">
        <f>C41*'optimisaton barillet '!F$27</f>
        <v>0</v>
      </c>
      <c r="E41">
        <f>'optimisaton barillet '!M99</f>
        <v>-0.25654363684549664</v>
      </c>
      <c r="F41" s="1">
        <f>E41*'optimisaton barillet '!F$28</f>
        <v>-0.08722483652746886</v>
      </c>
      <c r="G41" s="1">
        <f>'optimisaton barillet '!M130</f>
        <v>0.3274819672131145</v>
      </c>
      <c r="H41" s="1">
        <f>G41*'optimisaton barillet '!F$29</f>
        <v>0.21613809836065556</v>
      </c>
      <c r="I41" s="1">
        <f t="shared" si="4"/>
        <v>0.1289132618331867</v>
      </c>
      <c r="J41" s="7">
        <f>I41*'optimisaton barillet '!E$21</f>
        <v>0.0466446866923427</v>
      </c>
      <c r="K41" s="1">
        <f t="shared" si="0"/>
        <v>0.04757564971964587</v>
      </c>
      <c r="L41" s="1">
        <f t="shared" si="1"/>
        <v>-0.0009309630273031666</v>
      </c>
      <c r="M41" s="1">
        <f t="shared" si="2"/>
        <v>-1.8619260546063332</v>
      </c>
    </row>
    <row r="42" spans="1:13" ht="12.75">
      <c r="A42" s="3">
        <f>A41+0.05</f>
        <v>0.8500000000000002</v>
      </c>
      <c r="B42" s="3">
        <f>A42*'optimisaton barillet '!E$9/'optimisaton barillet '!G$29</f>
        <v>0.8500000000000002</v>
      </c>
      <c r="C42">
        <f>'optimisaton barillet '!M70</f>
        <v>-0.2508676007691575</v>
      </c>
      <c r="D42" s="1">
        <f>C42*'optimisaton barillet '!F$27</f>
        <v>0</v>
      </c>
      <c r="E42">
        <f>'optimisaton barillet '!M100</f>
        <v>-0.19106278824975326</v>
      </c>
      <c r="F42" s="1">
        <f>E42*'optimisaton barillet '!F$28</f>
        <v>-0.06496134800491611</v>
      </c>
      <c r="G42" s="1">
        <f>'optimisaton barillet '!M131</f>
        <v>0.24671057889344228</v>
      </c>
      <c r="H42" s="1">
        <f>G42*'optimisaton barillet '!F$29</f>
        <v>0.1628289820696719</v>
      </c>
      <c r="I42" s="1">
        <f t="shared" si="4"/>
        <v>0.09786763406475578</v>
      </c>
      <c r="J42" s="7">
        <f>I42*'optimisaton barillet '!E$21</f>
        <v>0.03541144691675307</v>
      </c>
      <c r="K42" s="1">
        <f t="shared" si="0"/>
        <v>0.036672896658893665</v>
      </c>
      <c r="L42" s="1">
        <f t="shared" si="1"/>
        <v>-0.0012614497421405968</v>
      </c>
      <c r="M42" s="1">
        <f t="shared" si="2"/>
        <v>-2.5228994842811936</v>
      </c>
    </row>
    <row r="43" spans="1:13" ht="12.75">
      <c r="A43" s="3">
        <f>A42+0.05</f>
        <v>0.9000000000000002</v>
      </c>
      <c r="B43" s="3">
        <f>A43*'optimisaton barillet '!E$9/'optimisaton barillet '!G$29</f>
        <v>0.9000000000000002</v>
      </c>
      <c r="C43">
        <f>'optimisaton barillet '!M71</f>
        <v>-0.16602866955235385</v>
      </c>
      <c r="D43" s="1">
        <f>C43*'optimisaton barillet '!F$27</f>
        <v>0</v>
      </c>
      <c r="E43">
        <f>'optimisaton barillet '!M101</f>
        <v>-0.12648898814427073</v>
      </c>
      <c r="F43" s="1">
        <f>E43*'optimisaton barillet '!F$28</f>
        <v>-0.043006255969052054</v>
      </c>
      <c r="G43" s="1">
        <f>'optimisaton barillet '!M132</f>
        <v>0.16476270491803247</v>
      </c>
      <c r="H43" s="1">
        <f>G43*'optimisaton barillet '!F$29</f>
        <v>0.10874338524590141</v>
      </c>
      <c r="I43" s="1">
        <f t="shared" si="4"/>
        <v>0.06573712927684935</v>
      </c>
      <c r="J43" s="7">
        <f>I43*'optimisaton barillet '!E$21</f>
        <v>0.023785666079417282</v>
      </c>
      <c r="K43" s="1">
        <f t="shared" si="0"/>
        <v>0.02510937068536862</v>
      </c>
      <c r="L43" s="1">
        <f t="shared" si="1"/>
        <v>-0.0013237046059513362</v>
      </c>
      <c r="M43" s="1">
        <f t="shared" si="2"/>
        <v>-2.6474092119026724</v>
      </c>
    </row>
    <row r="44" spans="1:13" ht="12.75">
      <c r="A44" s="3">
        <f>A43+0.05</f>
        <v>0.9500000000000003</v>
      </c>
      <c r="B44" s="3">
        <f>A44*'optimisaton barillet '!E$9/'optimisaton barillet '!G$29</f>
        <v>0.9500000000000003</v>
      </c>
      <c r="C44">
        <f>'optimisaton barillet '!M72</f>
        <v>-0.0824570739173561</v>
      </c>
      <c r="D44" s="1">
        <f>C44*'optimisaton barillet '!F$27</f>
        <v>0</v>
      </c>
      <c r="E44">
        <f>'optimisaton barillet '!M102</f>
        <v>-0.06282715498348179</v>
      </c>
      <c r="F44" s="1">
        <f>E44*'optimisaton barillet '!F$28</f>
        <v>-0.02136123269438381</v>
      </c>
      <c r="G44" s="1">
        <f>'optimisaton barillet '!M133</f>
        <v>0.08229459528688476</v>
      </c>
      <c r="H44" s="1">
        <f>G44*'optimisaton barillet '!F$29</f>
        <v>0.054314432889343935</v>
      </c>
      <c r="I44" s="1">
        <f t="shared" si="4"/>
        <v>0.03295320019496012</v>
      </c>
      <c r="J44" s="7">
        <f>I44*'optimisaton barillet '!E$21</f>
        <v>0.011923456723893564</v>
      </c>
      <c r="K44" s="1">
        <f t="shared" si="0"/>
        <v>0.012885071799070695</v>
      </c>
      <c r="L44" s="1">
        <f t="shared" si="1"/>
        <v>-0.0009616150751771309</v>
      </c>
      <c r="M44" s="1">
        <f t="shared" si="2"/>
        <v>-1.9232301503542617</v>
      </c>
    </row>
    <row r="45" spans="1:13" ht="12.75">
      <c r="A45" s="3">
        <f>A44+0.05</f>
        <v>1.0000000000000002</v>
      </c>
      <c r="B45" s="3">
        <f>A45*'optimisaton barillet '!E$9/'optimisaton barillet '!G$29</f>
        <v>1.0000000000000002</v>
      </c>
      <c r="C45">
        <f>'optimisaton barillet '!M73</f>
        <v>7.280150981148566E-16</v>
      </c>
      <c r="D45" s="1">
        <f>C45*'optimisaton barillet '!F$27</f>
        <v>0</v>
      </c>
      <c r="E45">
        <f>'optimisaton barillet '!M103</f>
        <v>6.413631010617358E-16</v>
      </c>
      <c r="F45" s="1">
        <f>E45*'optimisaton barillet '!F$28</f>
        <v>2.180634543609902E-16</v>
      </c>
      <c r="G45" s="1">
        <f>'optimisaton barillet '!M134</f>
        <v>0</v>
      </c>
      <c r="H45" s="1">
        <f>G45*'optimisaton barillet '!F$29</f>
        <v>0</v>
      </c>
      <c r="I45" s="1">
        <f t="shared" si="4"/>
        <v>2.180634543609902E-16</v>
      </c>
      <c r="J45" s="7">
        <f>I45*'optimisaton barillet '!E$21</f>
        <v>7.890190165911904E-17</v>
      </c>
      <c r="K45" s="1">
        <f t="shared" si="0"/>
        <v>-5.868842414472472E-17</v>
      </c>
      <c r="L45" s="1">
        <f t="shared" si="1"/>
        <v>1.3759032580384376E-16</v>
      </c>
      <c r="M45" s="1">
        <f t="shared" si="2"/>
        <v>2.7518065160768754E-13</v>
      </c>
    </row>
    <row r="46" ht="12.75">
      <c r="M46" s="1"/>
    </row>
    <row r="47" ht="12.75">
      <c r="M47" s="1"/>
    </row>
    <row r="48" ht="12.75">
      <c r="M48" s="1"/>
    </row>
    <row r="49" ht="12.75">
      <c r="M49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O74"/>
  <sheetViews>
    <sheetView workbookViewId="0" topLeftCell="H49">
      <selection activeCell="M75" sqref="M75"/>
    </sheetView>
  </sheetViews>
  <sheetFormatPr defaultColWidth="11.421875" defaultRowHeight="12.75"/>
  <cols>
    <col min="1" max="2" width="15.140625" style="0" customWidth="1"/>
    <col min="3" max="3" width="12.28125" style="0" bestFit="1" customWidth="1"/>
    <col min="13" max="13" width="12.28125" style="0" bestFit="1" customWidth="1"/>
  </cols>
  <sheetData>
    <row r="4" spans="2:4" ht="12.75">
      <c r="B4" s="3" t="s">
        <v>104</v>
      </c>
      <c r="D4" s="57"/>
    </row>
    <row r="5" spans="1:4" ht="12.75">
      <c r="A5" s="3" t="s">
        <v>2</v>
      </c>
      <c r="B5" s="7">
        <f>C5</f>
        <v>60000000000</v>
      </c>
      <c r="C5" s="7">
        <f>'optimisaton barillet '!E14/10</f>
        <v>60000000000</v>
      </c>
      <c r="D5" t="s">
        <v>105</v>
      </c>
    </row>
    <row r="6" spans="1:3" ht="12.75">
      <c r="A6" s="3" t="s">
        <v>101</v>
      </c>
      <c r="B6" s="3">
        <f>C6</f>
        <v>0.22</v>
      </c>
      <c r="C6" s="3">
        <f>'optimisaton barillet '!E13</f>
        <v>0.22</v>
      </c>
    </row>
    <row r="7" spans="1:4" ht="12.75">
      <c r="A7" s="3" t="s">
        <v>102</v>
      </c>
      <c r="B7" s="3">
        <f>C7*0.01</f>
        <v>0.15</v>
      </c>
      <c r="C7" s="56">
        <f>'optimisaton barillet '!G29</f>
        <v>15</v>
      </c>
      <c r="D7" t="s">
        <v>8</v>
      </c>
    </row>
    <row r="8" spans="1:3" ht="26.25">
      <c r="A8" s="59" t="s">
        <v>123</v>
      </c>
      <c r="B8" s="3">
        <f>C8</f>
        <v>6</v>
      </c>
      <c r="C8" s="3">
        <f>'optimisaton barillet '!D34</f>
        <v>6</v>
      </c>
    </row>
    <row r="9" spans="1:4" ht="12.75">
      <c r="A9" s="3" t="s">
        <v>103</v>
      </c>
      <c r="B9" s="3">
        <f>C9*0.01</f>
        <v>0.02</v>
      </c>
      <c r="C9" s="3">
        <f>'optimisaton barillet '!E8</f>
        <v>2</v>
      </c>
      <c r="D9" t="s">
        <v>8</v>
      </c>
    </row>
    <row r="10" spans="1:4" ht="12.75">
      <c r="A10" s="3" t="s">
        <v>4</v>
      </c>
      <c r="B10" s="3">
        <f>C10*1000</f>
        <v>2450</v>
      </c>
      <c r="C10" s="3">
        <f>'optimisaton barillet '!E15</f>
        <v>2.45</v>
      </c>
      <c r="D10" t="s">
        <v>37</v>
      </c>
    </row>
    <row r="11" spans="1:2" ht="12.75">
      <c r="A11" s="3" t="s">
        <v>6</v>
      </c>
      <c r="B11" s="3">
        <v>9.81</v>
      </c>
    </row>
    <row r="12" ht="12.75">
      <c r="A12" s="3"/>
    </row>
    <row r="13" spans="1:2" ht="12.75">
      <c r="A13" s="3" t="s">
        <v>106</v>
      </c>
      <c r="B13" s="3">
        <f>B5*B9^3/12/(1-B6*B6)</f>
        <v>42034.468263976465</v>
      </c>
    </row>
    <row r="14" spans="1:5" ht="12.75">
      <c r="A14" s="3" t="s">
        <v>107</v>
      </c>
      <c r="B14" s="3">
        <f>PI()*B7*B7*B10*B11*B9</f>
        <v>33.97797388471675</v>
      </c>
      <c r="C14" s="3" t="s">
        <v>108</v>
      </c>
      <c r="D14">
        <f>B14/B11</f>
        <v>3.463605900582747</v>
      </c>
      <c r="E14" s="3" t="s">
        <v>109</v>
      </c>
    </row>
    <row r="16" spans="2:5" ht="12.75">
      <c r="B16" t="s">
        <v>122</v>
      </c>
      <c r="C16">
        <f>IF((B8-3),0,1)</f>
        <v>0</v>
      </c>
      <c r="D16">
        <f>IF(B8-6,0,1)</f>
        <v>1</v>
      </c>
      <c r="E16">
        <f>IF(B8-9,0,1)</f>
        <v>0</v>
      </c>
    </row>
    <row r="17" spans="2:3" ht="12.75">
      <c r="B17" t="s">
        <v>110</v>
      </c>
      <c r="C17">
        <f>B14*B7^2/(2*PI()*B13*(3+B6))*'optimisaton barillet '!F29</f>
        <v>5.933113191440216E-07</v>
      </c>
    </row>
    <row r="18" spans="2:3" ht="12.75">
      <c r="B18" t="s">
        <v>111</v>
      </c>
      <c r="C18">
        <f>C19*C16+C20*D16+C21*E16</f>
        <v>0.031874102564102565</v>
      </c>
    </row>
    <row r="19" spans="2:3" ht="12.75">
      <c r="B19" t="s">
        <v>121</v>
      </c>
      <c r="C19">
        <f>0.0986+(1+B6)/(1-B6)*0.1284</f>
        <v>0.29943076923076917</v>
      </c>
    </row>
    <row r="20" spans="2:3" ht="12.75">
      <c r="B20" t="s">
        <v>120</v>
      </c>
      <c r="C20">
        <f>0.0114+(1+B6)/(1-B6)*0.01309</f>
        <v>0.031874102564102565</v>
      </c>
    </row>
    <row r="21" spans="2:35" ht="12.75">
      <c r="B21" t="s">
        <v>124</v>
      </c>
      <c r="C21">
        <f>0.00333+(1+B6)/(1-B6)*0.00366</f>
        <v>0.009054615384615385</v>
      </c>
      <c r="AI21">
        <f>PI()/3</f>
        <v>1.0471975511965976</v>
      </c>
    </row>
    <row r="22" spans="4:9" ht="12.75">
      <c r="D22" t="s">
        <v>112</v>
      </c>
      <c r="E22">
        <f>B8</f>
        <v>6</v>
      </c>
      <c r="G22">
        <f>2*E$22</f>
        <v>12</v>
      </c>
      <c r="I22">
        <f>3*E$22</f>
        <v>18</v>
      </c>
    </row>
    <row r="23" spans="4:9" ht="12.75">
      <c r="D23" t="s">
        <v>113</v>
      </c>
      <c r="E23">
        <f>1/E22/(E22-1)+2*(1+$B$6)/(1-$B6)/E22/E22/(E22-1)</f>
        <v>0.05071225071225072</v>
      </c>
      <c r="G23">
        <f>1/G22/(G22-1)+2*(1+$B$6)/(1-$B6)/G22/G22/(G22-1)</f>
        <v>0.00955063455063455</v>
      </c>
      <c r="I23">
        <f>1/I22/(I22-1)+2*(1+$B$6)/(1-$B6)/I22/I22/(I22-1)</f>
        <v>0.0038359123326443586</v>
      </c>
    </row>
    <row r="26" spans="3:93" ht="12.75">
      <c r="C26" s="3" t="s">
        <v>74</v>
      </c>
      <c r="E26" t="s">
        <v>116</v>
      </c>
      <c r="G26" t="s">
        <v>117</v>
      </c>
      <c r="I26" t="s">
        <v>118</v>
      </c>
      <c r="L26" t="s">
        <v>119</v>
      </c>
      <c r="M26">
        <f>0</f>
        <v>0</v>
      </c>
      <c r="N26">
        <f>M26+0.025</f>
        <v>0.025</v>
      </c>
      <c r="O26">
        <f aca="true" t="shared" si="0" ref="O26:BZ26">N26+0.025</f>
        <v>0.05</v>
      </c>
      <c r="P26">
        <f t="shared" si="0"/>
        <v>0.07500000000000001</v>
      </c>
      <c r="Q26">
        <f t="shared" si="0"/>
        <v>0.1</v>
      </c>
      <c r="R26">
        <f t="shared" si="0"/>
        <v>0.125</v>
      </c>
      <c r="S26">
        <f t="shared" si="0"/>
        <v>0.15</v>
      </c>
      <c r="T26">
        <f t="shared" si="0"/>
        <v>0.175</v>
      </c>
      <c r="U26">
        <f t="shared" si="0"/>
        <v>0.19999999999999998</v>
      </c>
      <c r="V26">
        <f t="shared" si="0"/>
        <v>0.22499999999999998</v>
      </c>
      <c r="W26">
        <f t="shared" si="0"/>
        <v>0.24999999999999997</v>
      </c>
      <c r="X26">
        <f t="shared" si="0"/>
        <v>0.27499999999999997</v>
      </c>
      <c r="Y26">
        <f t="shared" si="0"/>
        <v>0.3</v>
      </c>
      <c r="Z26">
        <f t="shared" si="0"/>
        <v>0.325</v>
      </c>
      <c r="AA26">
        <f t="shared" si="0"/>
        <v>0.35000000000000003</v>
      </c>
      <c r="AB26">
        <f t="shared" si="0"/>
        <v>0.37500000000000006</v>
      </c>
      <c r="AC26">
        <f t="shared" si="0"/>
        <v>0.4000000000000001</v>
      </c>
      <c r="AD26">
        <f t="shared" si="0"/>
        <v>0.4250000000000001</v>
      </c>
      <c r="AE26">
        <f t="shared" si="0"/>
        <v>0.4500000000000001</v>
      </c>
      <c r="AF26">
        <f t="shared" si="0"/>
        <v>0.47500000000000014</v>
      </c>
      <c r="AG26">
        <f t="shared" si="0"/>
        <v>0.5000000000000001</v>
      </c>
      <c r="AH26">
        <f t="shared" si="0"/>
        <v>0.5250000000000001</v>
      </c>
      <c r="AI26">
        <f t="shared" si="0"/>
        <v>0.5500000000000002</v>
      </c>
      <c r="AJ26">
        <f t="shared" si="0"/>
        <v>0.5750000000000002</v>
      </c>
      <c r="AK26">
        <f t="shared" si="0"/>
        <v>0.6000000000000002</v>
      </c>
      <c r="AL26">
        <f t="shared" si="0"/>
        <v>0.6250000000000002</v>
      </c>
      <c r="AM26">
        <f t="shared" si="0"/>
        <v>0.6500000000000002</v>
      </c>
      <c r="AN26">
        <f t="shared" si="0"/>
        <v>0.6750000000000003</v>
      </c>
      <c r="AO26">
        <f t="shared" si="0"/>
        <v>0.7000000000000003</v>
      </c>
      <c r="AP26">
        <f t="shared" si="0"/>
        <v>0.7250000000000003</v>
      </c>
      <c r="AQ26">
        <f t="shared" si="0"/>
        <v>0.7500000000000003</v>
      </c>
      <c r="AR26">
        <f t="shared" si="0"/>
        <v>0.7750000000000004</v>
      </c>
      <c r="AS26">
        <f t="shared" si="0"/>
        <v>0.8000000000000004</v>
      </c>
      <c r="AT26">
        <f t="shared" si="0"/>
        <v>0.8250000000000004</v>
      </c>
      <c r="AU26">
        <f t="shared" si="0"/>
        <v>0.8500000000000004</v>
      </c>
      <c r="AV26">
        <f t="shared" si="0"/>
        <v>0.8750000000000004</v>
      </c>
      <c r="AW26">
        <f t="shared" si="0"/>
        <v>0.9000000000000005</v>
      </c>
      <c r="AX26">
        <f t="shared" si="0"/>
        <v>0.9250000000000005</v>
      </c>
      <c r="AY26">
        <f t="shared" si="0"/>
        <v>0.9500000000000005</v>
      </c>
      <c r="AZ26">
        <f t="shared" si="0"/>
        <v>0.9750000000000005</v>
      </c>
      <c r="BA26">
        <f t="shared" si="0"/>
        <v>1.0000000000000004</v>
      </c>
      <c r="BB26">
        <f t="shared" si="0"/>
        <v>1.0250000000000004</v>
      </c>
      <c r="BC26">
        <f t="shared" si="0"/>
        <v>1.0500000000000003</v>
      </c>
      <c r="BD26">
        <f t="shared" si="0"/>
        <v>1.0750000000000002</v>
      </c>
      <c r="BE26">
        <f t="shared" si="0"/>
        <v>1.1</v>
      </c>
      <c r="BF26">
        <f t="shared" si="0"/>
        <v>1.125</v>
      </c>
      <c r="BG26">
        <f t="shared" si="0"/>
        <v>1.15</v>
      </c>
      <c r="BH26">
        <f t="shared" si="0"/>
        <v>1.1749999999999998</v>
      </c>
      <c r="BI26">
        <f t="shared" si="0"/>
        <v>1.1999999999999997</v>
      </c>
      <c r="BJ26">
        <f t="shared" si="0"/>
        <v>1.2249999999999996</v>
      </c>
      <c r="BK26">
        <f t="shared" si="0"/>
        <v>1.2499999999999996</v>
      </c>
      <c r="BL26">
        <f t="shared" si="0"/>
        <v>1.2749999999999995</v>
      </c>
      <c r="BM26">
        <f t="shared" si="0"/>
        <v>1.2999999999999994</v>
      </c>
      <c r="BN26">
        <f t="shared" si="0"/>
        <v>1.3249999999999993</v>
      </c>
      <c r="BO26">
        <f t="shared" si="0"/>
        <v>1.3499999999999992</v>
      </c>
      <c r="BP26">
        <f t="shared" si="0"/>
        <v>1.3749999999999991</v>
      </c>
      <c r="BQ26">
        <f t="shared" si="0"/>
        <v>1.399999999999999</v>
      </c>
      <c r="BR26">
        <f t="shared" si="0"/>
        <v>1.424999999999999</v>
      </c>
      <c r="BS26">
        <f t="shared" si="0"/>
        <v>1.4499999999999988</v>
      </c>
      <c r="BT26">
        <f t="shared" si="0"/>
        <v>1.4749999999999988</v>
      </c>
      <c r="BU26">
        <f t="shared" si="0"/>
        <v>1.4999999999999987</v>
      </c>
      <c r="BV26">
        <f t="shared" si="0"/>
        <v>1.5249999999999986</v>
      </c>
      <c r="BW26">
        <f t="shared" si="0"/>
        <v>1.5499999999999985</v>
      </c>
      <c r="BX26">
        <f t="shared" si="0"/>
        <v>1.5749999999999984</v>
      </c>
      <c r="BY26">
        <f t="shared" si="0"/>
        <v>1.5999999999999983</v>
      </c>
      <c r="BZ26">
        <f t="shared" si="0"/>
        <v>1.6249999999999982</v>
      </c>
      <c r="CA26">
        <f aca="true" t="shared" si="1" ref="CA26:CO26">BZ26+0.025</f>
        <v>1.6499999999999981</v>
      </c>
      <c r="CB26">
        <f t="shared" si="1"/>
        <v>1.674999999999998</v>
      </c>
      <c r="CC26">
        <f t="shared" si="1"/>
        <v>1.699999999999998</v>
      </c>
      <c r="CD26">
        <f t="shared" si="1"/>
        <v>1.7249999999999979</v>
      </c>
      <c r="CE26">
        <f t="shared" si="1"/>
        <v>1.7499999999999978</v>
      </c>
      <c r="CF26">
        <f t="shared" si="1"/>
        <v>1.7749999999999977</v>
      </c>
      <c r="CG26">
        <f t="shared" si="1"/>
        <v>1.7999999999999976</v>
      </c>
      <c r="CH26">
        <f t="shared" si="1"/>
        <v>1.8249999999999975</v>
      </c>
      <c r="CI26">
        <f t="shared" si="1"/>
        <v>1.8499999999999974</v>
      </c>
      <c r="CJ26">
        <f t="shared" si="1"/>
        <v>1.8749999999999973</v>
      </c>
      <c r="CK26">
        <f t="shared" si="1"/>
        <v>1.8999999999999972</v>
      </c>
      <c r="CL26">
        <f t="shared" si="1"/>
        <v>1.9249999999999972</v>
      </c>
      <c r="CM26">
        <f t="shared" si="1"/>
        <v>1.949999999999997</v>
      </c>
      <c r="CN26">
        <f t="shared" si="1"/>
        <v>1.974999999999997</v>
      </c>
      <c r="CO26">
        <f t="shared" si="1"/>
        <v>1.999999999999997</v>
      </c>
    </row>
    <row r="27" spans="10:93" ht="12.75">
      <c r="J27" s="3" t="s">
        <v>114</v>
      </c>
      <c r="K27" s="3" t="s">
        <v>115</v>
      </c>
      <c r="M27">
        <f>PI()*M26</f>
        <v>0</v>
      </c>
      <c r="N27">
        <f>PI()*N26</f>
        <v>0.07853981633974483</v>
      </c>
      <c r="O27">
        <f aca="true" t="shared" si="2" ref="O27:BZ27">PI()*O26</f>
        <v>0.15707963267948966</v>
      </c>
      <c r="P27">
        <f t="shared" si="2"/>
        <v>0.2356194490192345</v>
      </c>
      <c r="Q27">
        <f t="shared" si="2"/>
        <v>0.3141592653589793</v>
      </c>
      <c r="R27">
        <f t="shared" si="2"/>
        <v>0.39269908169872414</v>
      </c>
      <c r="S27">
        <f t="shared" si="2"/>
        <v>0.47123889803846897</v>
      </c>
      <c r="T27">
        <f t="shared" si="2"/>
        <v>0.5497787143782138</v>
      </c>
      <c r="U27">
        <f t="shared" si="2"/>
        <v>0.6283185307179586</v>
      </c>
      <c r="V27">
        <f t="shared" si="2"/>
        <v>0.7068583470577033</v>
      </c>
      <c r="W27">
        <f t="shared" si="2"/>
        <v>0.7853981633974482</v>
      </c>
      <c r="X27">
        <f t="shared" si="2"/>
        <v>0.863937979737193</v>
      </c>
      <c r="Y27">
        <f t="shared" si="2"/>
        <v>0.9424777960769379</v>
      </c>
      <c r="Z27">
        <f t="shared" si="2"/>
        <v>1.0210176124166828</v>
      </c>
      <c r="AA27">
        <f t="shared" si="2"/>
        <v>1.0995574287564276</v>
      </c>
      <c r="AB27">
        <f t="shared" si="2"/>
        <v>1.1780972450961726</v>
      </c>
      <c r="AC27">
        <f t="shared" si="2"/>
        <v>1.2566370614359175</v>
      </c>
      <c r="AD27">
        <f t="shared" si="2"/>
        <v>1.3351768777756623</v>
      </c>
      <c r="AE27">
        <f t="shared" si="2"/>
        <v>1.4137166941154073</v>
      </c>
      <c r="AF27">
        <f t="shared" si="2"/>
        <v>1.4922565104551522</v>
      </c>
      <c r="AG27">
        <f t="shared" si="2"/>
        <v>1.570796326794897</v>
      </c>
      <c r="AH27">
        <f t="shared" si="2"/>
        <v>1.6493361431346418</v>
      </c>
      <c r="AI27">
        <f t="shared" si="2"/>
        <v>1.7278759594743867</v>
      </c>
      <c r="AJ27">
        <f t="shared" si="2"/>
        <v>1.8064157758141317</v>
      </c>
      <c r="AK27">
        <f t="shared" si="2"/>
        <v>1.8849555921538765</v>
      </c>
      <c r="AL27">
        <f t="shared" si="2"/>
        <v>1.9634954084936214</v>
      </c>
      <c r="AM27">
        <f t="shared" si="2"/>
        <v>2.0420352248333664</v>
      </c>
      <c r="AN27">
        <f t="shared" si="2"/>
        <v>2.1205750411731112</v>
      </c>
      <c r="AO27">
        <f t="shared" si="2"/>
        <v>2.199114857512856</v>
      </c>
      <c r="AP27">
        <f t="shared" si="2"/>
        <v>2.277654673852601</v>
      </c>
      <c r="AQ27">
        <f t="shared" si="2"/>
        <v>2.3561944901923457</v>
      </c>
      <c r="AR27">
        <f t="shared" si="2"/>
        <v>2.434734306532091</v>
      </c>
      <c r="AS27">
        <f t="shared" si="2"/>
        <v>2.513274122871836</v>
      </c>
      <c r="AT27">
        <f t="shared" si="2"/>
        <v>2.5918139392115807</v>
      </c>
      <c r="AU27">
        <f t="shared" si="2"/>
        <v>2.6703537555513255</v>
      </c>
      <c r="AV27">
        <f t="shared" si="2"/>
        <v>2.7488935718910703</v>
      </c>
      <c r="AW27">
        <f t="shared" si="2"/>
        <v>2.827433388230815</v>
      </c>
      <c r="AX27">
        <f t="shared" si="2"/>
        <v>2.90597320457056</v>
      </c>
      <c r="AY27">
        <f t="shared" si="2"/>
        <v>2.9845130209103052</v>
      </c>
      <c r="AZ27">
        <f t="shared" si="2"/>
        <v>3.06305283725005</v>
      </c>
      <c r="BA27">
        <f t="shared" si="2"/>
        <v>3.1415926535897944</v>
      </c>
      <c r="BB27">
        <f t="shared" si="2"/>
        <v>3.2201324699295393</v>
      </c>
      <c r="BC27">
        <f t="shared" si="2"/>
        <v>3.2986722862692837</v>
      </c>
      <c r="BD27">
        <f t="shared" si="2"/>
        <v>3.377212102609028</v>
      </c>
      <c r="BE27">
        <f t="shared" si="2"/>
        <v>3.455751918948773</v>
      </c>
      <c r="BF27">
        <f t="shared" si="2"/>
        <v>3.5342917352885173</v>
      </c>
      <c r="BG27">
        <f t="shared" si="2"/>
        <v>3.6128315516282616</v>
      </c>
      <c r="BH27">
        <f t="shared" si="2"/>
        <v>3.6913713679680065</v>
      </c>
      <c r="BI27">
        <f t="shared" si="2"/>
        <v>3.769911184307751</v>
      </c>
      <c r="BJ27">
        <f t="shared" si="2"/>
        <v>3.8484510006474952</v>
      </c>
      <c r="BK27">
        <f t="shared" si="2"/>
        <v>3.92699081698724</v>
      </c>
      <c r="BL27">
        <f t="shared" si="2"/>
        <v>4.005530633326985</v>
      </c>
      <c r="BM27">
        <f t="shared" si="2"/>
        <v>4.084070449666729</v>
      </c>
      <c r="BN27">
        <f t="shared" si="2"/>
        <v>4.162610266006474</v>
      </c>
      <c r="BO27">
        <f t="shared" si="2"/>
        <v>4.241150082346218</v>
      </c>
      <c r="BP27">
        <f t="shared" si="2"/>
        <v>4.319689898685962</v>
      </c>
      <c r="BQ27">
        <f t="shared" si="2"/>
        <v>4.398229715025708</v>
      </c>
      <c r="BR27">
        <f t="shared" si="2"/>
        <v>4.476769531365452</v>
      </c>
      <c r="BS27">
        <f t="shared" si="2"/>
        <v>4.5553093477051965</v>
      </c>
      <c r="BT27">
        <f t="shared" si="2"/>
        <v>4.633849164044941</v>
      </c>
      <c r="BU27">
        <f t="shared" si="2"/>
        <v>4.712388980384685</v>
      </c>
      <c r="BV27">
        <f t="shared" si="2"/>
        <v>4.79092879672443</v>
      </c>
      <c r="BW27">
        <f t="shared" si="2"/>
        <v>4.869468613064175</v>
      </c>
      <c r="BX27">
        <f t="shared" si="2"/>
        <v>4.948008429403919</v>
      </c>
      <c r="BY27">
        <f t="shared" si="2"/>
        <v>5.026548245743664</v>
      </c>
      <c r="BZ27">
        <f t="shared" si="2"/>
        <v>5.105088062083408</v>
      </c>
      <c r="CA27">
        <f aca="true" t="shared" si="3" ref="CA27:CO27">PI()*CA26</f>
        <v>5.183627878423152</v>
      </c>
      <c r="CB27">
        <f t="shared" si="3"/>
        <v>5.262167694762898</v>
      </c>
      <c r="CC27">
        <f t="shared" si="3"/>
        <v>5.340707511102642</v>
      </c>
      <c r="CD27">
        <f t="shared" si="3"/>
        <v>5.4192473274423865</v>
      </c>
      <c r="CE27">
        <f t="shared" si="3"/>
        <v>5.497787143782131</v>
      </c>
      <c r="CF27">
        <f t="shared" si="3"/>
        <v>5.576326960121875</v>
      </c>
      <c r="CG27">
        <f t="shared" si="3"/>
        <v>5.6548667764616205</v>
      </c>
      <c r="CH27">
        <f t="shared" si="3"/>
        <v>5.733406592801365</v>
      </c>
      <c r="CI27">
        <f t="shared" si="3"/>
        <v>5.811946409141109</v>
      </c>
      <c r="CJ27">
        <f t="shared" si="3"/>
        <v>5.890486225480854</v>
      </c>
      <c r="CK27">
        <f t="shared" si="3"/>
        <v>5.969026041820598</v>
      </c>
      <c r="CL27">
        <f t="shared" si="3"/>
        <v>6.047565858160342</v>
      </c>
      <c r="CM27">
        <f t="shared" si="3"/>
        <v>6.126105674500088</v>
      </c>
      <c r="CN27">
        <f t="shared" si="3"/>
        <v>6.204645490839832</v>
      </c>
      <c r="CO27">
        <f t="shared" si="3"/>
        <v>6.2831853071795765</v>
      </c>
    </row>
    <row r="28" spans="2:93" ht="12.75">
      <c r="B28">
        <v>0</v>
      </c>
      <c r="C28">
        <v>0</v>
      </c>
      <c r="D28">
        <f aca="true" t="shared" si="4" ref="D28:D48">E$23-$C28*$C28/(E$22*(E$22+1))</f>
        <v>0.05071225071225072</v>
      </c>
      <c r="E28">
        <f aca="true" t="shared" si="5" ref="E28:E48">D28*C28^E$22</f>
        <v>0</v>
      </c>
      <c r="F28">
        <f>G$23-$C28*$C28/(G$22*(G$22+1))</f>
        <v>0.00955063455063455</v>
      </c>
      <c r="G28">
        <f>F28*C28^G$22</f>
        <v>0</v>
      </c>
      <c r="H28">
        <f>I$23-$C28*$C28/(I$22*(I$22+1))</f>
        <v>0.0038359123326443586</v>
      </c>
      <c r="I28">
        <f>H28*C28^I$22</f>
        <v>0</v>
      </c>
      <c r="J28" s="1">
        <f>0.000001*'deformation radiale'!J25</f>
        <v>1.3215458255457193E-07</v>
      </c>
      <c r="M28" s="1">
        <f aca="true" t="shared" si="6" ref="M28:V37">-1000000000*($C$17*($C$18-$E28*COS($E$22*M$27)-$G28*COS($G$22*M$27)-$I28*COS($I$32*M$27))+$J28)</f>
        <v>-151.06584839341144</v>
      </c>
      <c r="N28" s="1">
        <f t="shared" si="6"/>
        <v>-151.06584839341144</v>
      </c>
      <c r="O28" s="1">
        <f t="shared" si="6"/>
        <v>-151.06584839341144</v>
      </c>
      <c r="P28" s="1">
        <f t="shared" si="6"/>
        <v>-151.06584839341144</v>
      </c>
      <c r="Q28" s="1">
        <f t="shared" si="6"/>
        <v>-151.06584839341144</v>
      </c>
      <c r="R28" s="1">
        <f t="shared" si="6"/>
        <v>-151.06584839341144</v>
      </c>
      <c r="S28" s="1">
        <f t="shared" si="6"/>
        <v>-151.06584839341144</v>
      </c>
      <c r="T28" s="1">
        <f t="shared" si="6"/>
        <v>-151.06584839341144</v>
      </c>
      <c r="U28" s="1">
        <f t="shared" si="6"/>
        <v>-151.06584839341144</v>
      </c>
      <c r="V28" s="1">
        <f t="shared" si="6"/>
        <v>-151.06584839341144</v>
      </c>
      <c r="W28" s="1">
        <f aca="true" t="shared" si="7" ref="W28:AF37">-1000000000*($C$17*($C$18-$E28*COS($E$22*W$27)-$G28*COS($G$22*W$27)-$I28*COS($I$32*W$27))+$J28)</f>
        <v>-151.06584839341144</v>
      </c>
      <c r="X28" s="1">
        <f t="shared" si="7"/>
        <v>-151.06584839341144</v>
      </c>
      <c r="Y28" s="1">
        <f t="shared" si="7"/>
        <v>-151.06584839341144</v>
      </c>
      <c r="Z28" s="1">
        <f t="shared" si="7"/>
        <v>-151.06584839341144</v>
      </c>
      <c r="AA28" s="1">
        <f t="shared" si="7"/>
        <v>-151.06584839341144</v>
      </c>
      <c r="AB28" s="1">
        <f t="shared" si="7"/>
        <v>-151.06584839341144</v>
      </c>
      <c r="AC28" s="1">
        <f t="shared" si="7"/>
        <v>-151.06584839341144</v>
      </c>
      <c r="AD28" s="1">
        <f t="shared" si="7"/>
        <v>-151.06584839341144</v>
      </c>
      <c r="AE28" s="1">
        <f t="shared" si="7"/>
        <v>-151.06584839341144</v>
      </c>
      <c r="AF28" s="1">
        <f t="shared" si="7"/>
        <v>-151.06584839341144</v>
      </c>
      <c r="AG28" s="1">
        <f aca="true" t="shared" si="8" ref="AG28:AP37">-1000000000*($C$17*($C$18-$E28*COS($E$22*AG$27)-$G28*COS($G$22*AG$27)-$I28*COS($I$32*AG$27))+$J28)</f>
        <v>-151.06584839341144</v>
      </c>
      <c r="AH28" s="1">
        <f t="shared" si="8"/>
        <v>-151.06584839341144</v>
      </c>
      <c r="AI28" s="1">
        <f t="shared" si="8"/>
        <v>-151.06584839341144</v>
      </c>
      <c r="AJ28" s="1">
        <f t="shared" si="8"/>
        <v>-151.06584839341144</v>
      </c>
      <c r="AK28" s="1">
        <f t="shared" si="8"/>
        <v>-151.06584839341144</v>
      </c>
      <c r="AL28" s="1">
        <f t="shared" si="8"/>
        <v>-151.06584839341144</v>
      </c>
      <c r="AM28" s="1">
        <f t="shared" si="8"/>
        <v>-151.06584839341144</v>
      </c>
      <c r="AN28" s="1">
        <f t="shared" si="8"/>
        <v>-151.06584839341144</v>
      </c>
      <c r="AO28" s="1">
        <f t="shared" si="8"/>
        <v>-151.06584839341144</v>
      </c>
      <c r="AP28" s="1">
        <f t="shared" si="8"/>
        <v>-151.06584839341144</v>
      </c>
      <c r="AQ28" s="1">
        <f aca="true" t="shared" si="9" ref="AQ28:AZ37">-1000000000*($C$17*($C$18-$E28*COS($E$22*AQ$27)-$G28*COS($G$22*AQ$27)-$I28*COS($I$32*AQ$27))+$J28)</f>
        <v>-151.06584839341144</v>
      </c>
      <c r="AR28" s="1">
        <f t="shared" si="9"/>
        <v>-151.06584839341144</v>
      </c>
      <c r="AS28" s="1">
        <f t="shared" si="9"/>
        <v>-151.06584839341144</v>
      </c>
      <c r="AT28" s="1">
        <f t="shared" si="9"/>
        <v>-151.06584839341144</v>
      </c>
      <c r="AU28" s="1">
        <f t="shared" si="9"/>
        <v>-151.06584839341144</v>
      </c>
      <c r="AV28" s="1">
        <f t="shared" si="9"/>
        <v>-151.06584839341144</v>
      </c>
      <c r="AW28" s="1">
        <f t="shared" si="9"/>
        <v>-151.06584839341144</v>
      </c>
      <c r="AX28" s="1">
        <f t="shared" si="9"/>
        <v>-151.06584839341144</v>
      </c>
      <c r="AY28" s="1">
        <f t="shared" si="9"/>
        <v>-151.06584839341144</v>
      </c>
      <c r="AZ28" s="1">
        <f t="shared" si="9"/>
        <v>-151.06584839341144</v>
      </c>
      <c r="BA28" s="1">
        <f aca="true" t="shared" si="10" ref="BA28:BJ37">-1000000000*($C$17*($C$18-$E28*COS($E$22*BA$27)-$G28*COS($G$22*BA$27)-$I28*COS($I$32*BA$27))+$J28)</f>
        <v>-151.06584839341144</v>
      </c>
      <c r="BB28" s="1">
        <f t="shared" si="10"/>
        <v>-151.06584839341144</v>
      </c>
      <c r="BC28" s="1">
        <f t="shared" si="10"/>
        <v>-151.06584839341144</v>
      </c>
      <c r="BD28" s="1">
        <f t="shared" si="10"/>
        <v>-151.06584839341144</v>
      </c>
      <c r="BE28" s="1">
        <f t="shared" si="10"/>
        <v>-151.06584839341144</v>
      </c>
      <c r="BF28" s="1">
        <f t="shared" si="10"/>
        <v>-151.06584839341144</v>
      </c>
      <c r="BG28" s="1">
        <f t="shared" si="10"/>
        <v>-151.06584839341144</v>
      </c>
      <c r="BH28" s="1">
        <f t="shared" si="10"/>
        <v>-151.06584839341144</v>
      </c>
      <c r="BI28" s="1">
        <f t="shared" si="10"/>
        <v>-151.06584839341144</v>
      </c>
      <c r="BJ28" s="1">
        <f t="shared" si="10"/>
        <v>-151.06584839341144</v>
      </c>
      <c r="BK28" s="1">
        <f aca="true" t="shared" si="11" ref="BK28:BT37">-1000000000*($C$17*($C$18-$E28*COS($E$22*BK$27)-$G28*COS($G$22*BK$27)-$I28*COS($I$32*BK$27))+$J28)</f>
        <v>-151.06584839341144</v>
      </c>
      <c r="BL28" s="1">
        <f t="shared" si="11"/>
        <v>-151.06584839341144</v>
      </c>
      <c r="BM28" s="1">
        <f t="shared" si="11"/>
        <v>-151.06584839341144</v>
      </c>
      <c r="BN28" s="1">
        <f t="shared" si="11"/>
        <v>-151.06584839341144</v>
      </c>
      <c r="BO28" s="1">
        <f t="shared" si="11"/>
        <v>-151.06584839341144</v>
      </c>
      <c r="BP28" s="1">
        <f t="shared" si="11"/>
        <v>-151.06584839341144</v>
      </c>
      <c r="BQ28" s="1">
        <f t="shared" si="11"/>
        <v>-151.06584839341144</v>
      </c>
      <c r="BR28" s="1">
        <f t="shared" si="11"/>
        <v>-151.06584839341144</v>
      </c>
      <c r="BS28" s="1">
        <f t="shared" si="11"/>
        <v>-151.06584839341144</v>
      </c>
      <c r="BT28" s="1">
        <f t="shared" si="11"/>
        <v>-151.06584839341144</v>
      </c>
      <c r="BU28" s="1">
        <f aca="true" t="shared" si="12" ref="BU28:CD37">-1000000000*($C$17*($C$18-$E28*COS($E$22*BU$27)-$G28*COS($G$22*BU$27)-$I28*COS($I$32*BU$27))+$J28)</f>
        <v>-151.06584839341144</v>
      </c>
      <c r="BV28" s="1">
        <f t="shared" si="12"/>
        <v>-151.06584839341144</v>
      </c>
      <c r="BW28" s="1">
        <f t="shared" si="12"/>
        <v>-151.06584839341144</v>
      </c>
      <c r="BX28" s="1">
        <f t="shared" si="12"/>
        <v>-151.06584839341144</v>
      </c>
      <c r="BY28" s="1">
        <f t="shared" si="12"/>
        <v>-151.06584839341144</v>
      </c>
      <c r="BZ28" s="1">
        <f t="shared" si="12"/>
        <v>-151.06584839341144</v>
      </c>
      <c r="CA28" s="1">
        <f t="shared" si="12"/>
        <v>-151.06584839341144</v>
      </c>
      <c r="CB28" s="1">
        <f t="shared" si="12"/>
        <v>-151.06584839341144</v>
      </c>
      <c r="CC28" s="1">
        <f t="shared" si="12"/>
        <v>-151.06584839341144</v>
      </c>
      <c r="CD28" s="1">
        <f t="shared" si="12"/>
        <v>-151.06584839341144</v>
      </c>
      <c r="CE28" s="1">
        <f aca="true" t="shared" si="13" ref="CE28:CO37">-1000000000*($C$17*($C$18-$E28*COS($E$22*CE$27)-$G28*COS($G$22*CE$27)-$I28*COS($I$32*CE$27))+$J28)</f>
        <v>-151.06584839341144</v>
      </c>
      <c r="CF28" s="1">
        <f t="shared" si="13"/>
        <v>-151.06584839341144</v>
      </c>
      <c r="CG28" s="1">
        <f t="shared" si="13"/>
        <v>-151.06584839341144</v>
      </c>
      <c r="CH28" s="1">
        <f t="shared" si="13"/>
        <v>-151.06584839341144</v>
      </c>
      <c r="CI28" s="1">
        <f t="shared" si="13"/>
        <v>-151.06584839341144</v>
      </c>
      <c r="CJ28" s="1">
        <f t="shared" si="13"/>
        <v>-151.06584839341144</v>
      </c>
      <c r="CK28" s="1">
        <f t="shared" si="13"/>
        <v>-151.06584839341144</v>
      </c>
      <c r="CL28" s="1">
        <f t="shared" si="13"/>
        <v>-151.06584839341144</v>
      </c>
      <c r="CM28" s="1">
        <f t="shared" si="13"/>
        <v>-151.06584839341144</v>
      </c>
      <c r="CN28" s="1">
        <f t="shared" si="13"/>
        <v>-151.06584839341144</v>
      </c>
      <c r="CO28" s="1">
        <f t="shared" si="13"/>
        <v>-151.06584839341144</v>
      </c>
    </row>
    <row r="29" spans="2:93" ht="12.75">
      <c r="B29">
        <f>-C29</f>
        <v>-0.05</v>
      </c>
      <c r="C29">
        <f>C28+0.05</f>
        <v>0.05</v>
      </c>
      <c r="D29">
        <f t="shared" si="4"/>
        <v>0.05065272690272691</v>
      </c>
      <c r="E29">
        <f t="shared" si="5"/>
        <v>7.914488578551085E-10</v>
      </c>
      <c r="F29">
        <f aca="true" t="shared" si="14" ref="F29:F48">G$23-$C29*$C29/(G$22*(G$22+1))</f>
        <v>0.009534608909608909</v>
      </c>
      <c r="G29">
        <f aca="true" t="shared" si="15" ref="G29:G48">F29*C29^G$22</f>
        <v>2.3277853783224908E-18</v>
      </c>
      <c r="H29">
        <f aca="true" t="shared" si="16" ref="H29:H48">I$23-$C29*$C29/(I$22*(I$22+1))</f>
        <v>0.0038286023911238906</v>
      </c>
      <c r="I29">
        <f aca="true" t="shared" si="17" ref="I29:I48">H29*C29^I$22</f>
        <v>1.460495907258567E-26</v>
      </c>
      <c r="J29" s="1">
        <f>0.000001*'deformation radiale'!J26</f>
        <v>1.317892427952576E-07</v>
      </c>
      <c r="M29" s="1">
        <f t="shared" si="6"/>
        <v>-150.70050816452158</v>
      </c>
      <c r="N29" s="1">
        <f t="shared" si="6"/>
        <v>-150.70050821570226</v>
      </c>
      <c r="O29" s="1">
        <f t="shared" si="6"/>
        <v>-150.70050835808755</v>
      </c>
      <c r="P29" s="1">
        <f t="shared" si="6"/>
        <v>-150.70050856063935</v>
      </c>
      <c r="Q29" s="1">
        <f t="shared" si="6"/>
        <v>-150.70050877920397</v>
      </c>
      <c r="R29" s="1">
        <f t="shared" si="6"/>
        <v>-150.7005089661372</v>
      </c>
      <c r="S29" s="1">
        <f t="shared" si="6"/>
        <v>-150.70050908069004</v>
      </c>
      <c r="T29" s="1">
        <f t="shared" si="6"/>
        <v>-150.70050909789146</v>
      </c>
      <c r="U29" s="1">
        <f t="shared" si="6"/>
        <v>-150.70050901399176</v>
      </c>
      <c r="V29" s="1">
        <f t="shared" si="6"/>
        <v>-150.70050884727996</v>
      </c>
      <c r="W29" s="1">
        <f t="shared" si="7"/>
        <v>-150.70050863409713</v>
      </c>
      <c r="X29" s="1">
        <f t="shared" si="7"/>
        <v>-150.7005084209143</v>
      </c>
      <c r="Y29" s="1">
        <f t="shared" si="7"/>
        <v>-150.7005082542025</v>
      </c>
      <c r="Z29" s="1">
        <f t="shared" si="7"/>
        <v>-150.70050817030284</v>
      </c>
      <c r="AA29" s="1">
        <f t="shared" si="7"/>
        <v>-150.70050818750423</v>
      </c>
      <c r="AB29" s="1">
        <f t="shared" si="7"/>
        <v>-150.70050830205707</v>
      </c>
      <c r="AC29" s="1">
        <f t="shared" si="7"/>
        <v>-150.7005084889903</v>
      </c>
      <c r="AD29" s="1">
        <f t="shared" si="7"/>
        <v>-150.70050870755492</v>
      </c>
      <c r="AE29" s="1">
        <f t="shared" si="7"/>
        <v>-150.70050891010675</v>
      </c>
      <c r="AF29" s="1">
        <f t="shared" si="7"/>
        <v>-150.700509052492</v>
      </c>
      <c r="AG29" s="1">
        <f t="shared" si="8"/>
        <v>-150.7005091036727</v>
      </c>
      <c r="AH29" s="1">
        <f t="shared" si="8"/>
        <v>-150.700509052492</v>
      </c>
      <c r="AI29" s="1">
        <f t="shared" si="8"/>
        <v>-150.70050891010675</v>
      </c>
      <c r="AJ29" s="1">
        <f t="shared" si="8"/>
        <v>-150.70050870755492</v>
      </c>
      <c r="AK29" s="1">
        <f t="shared" si="8"/>
        <v>-150.7005084889903</v>
      </c>
      <c r="AL29" s="1">
        <f t="shared" si="8"/>
        <v>-150.70050830205707</v>
      </c>
      <c r="AM29" s="1">
        <f t="shared" si="8"/>
        <v>-150.70050818750423</v>
      </c>
      <c r="AN29" s="1">
        <f t="shared" si="8"/>
        <v>-150.70050817030284</v>
      </c>
      <c r="AO29" s="1">
        <f t="shared" si="8"/>
        <v>-150.7005082542025</v>
      </c>
      <c r="AP29" s="1">
        <f t="shared" si="8"/>
        <v>-150.7005084209143</v>
      </c>
      <c r="AQ29" s="1">
        <f t="shared" si="9"/>
        <v>-150.70050863409713</v>
      </c>
      <c r="AR29" s="1">
        <f t="shared" si="9"/>
        <v>-150.70050884727996</v>
      </c>
      <c r="AS29" s="1">
        <f t="shared" si="9"/>
        <v>-150.70050901399176</v>
      </c>
      <c r="AT29" s="1">
        <f t="shared" si="9"/>
        <v>-150.70050909789146</v>
      </c>
      <c r="AU29" s="1">
        <f t="shared" si="9"/>
        <v>-150.70050908069004</v>
      </c>
      <c r="AV29" s="1">
        <f t="shared" si="9"/>
        <v>-150.7005089661372</v>
      </c>
      <c r="AW29" s="1">
        <f t="shared" si="9"/>
        <v>-150.70050877920397</v>
      </c>
      <c r="AX29" s="1">
        <f t="shared" si="9"/>
        <v>-150.70050856063935</v>
      </c>
      <c r="AY29" s="1">
        <f t="shared" si="9"/>
        <v>-150.70050835808755</v>
      </c>
      <c r="AZ29" s="1">
        <f t="shared" si="9"/>
        <v>-150.70050821570226</v>
      </c>
      <c r="BA29" s="1">
        <f t="shared" si="10"/>
        <v>-150.70050816452158</v>
      </c>
      <c r="BB29" s="1">
        <f t="shared" si="10"/>
        <v>-150.70050821570226</v>
      </c>
      <c r="BC29" s="1">
        <f t="shared" si="10"/>
        <v>-150.70050835808755</v>
      </c>
      <c r="BD29" s="1">
        <f t="shared" si="10"/>
        <v>-150.70050856063935</v>
      </c>
      <c r="BE29" s="1">
        <f t="shared" si="10"/>
        <v>-150.70050877920397</v>
      </c>
      <c r="BF29" s="1">
        <f t="shared" si="10"/>
        <v>-150.7005089661372</v>
      </c>
      <c r="BG29" s="1">
        <f t="shared" si="10"/>
        <v>-150.70050908069004</v>
      </c>
      <c r="BH29" s="1">
        <f t="shared" si="10"/>
        <v>-150.70050909789146</v>
      </c>
      <c r="BI29" s="1">
        <f t="shared" si="10"/>
        <v>-150.70050901399176</v>
      </c>
      <c r="BJ29" s="1">
        <f t="shared" si="10"/>
        <v>-150.70050884727996</v>
      </c>
      <c r="BK29" s="1">
        <f t="shared" si="11"/>
        <v>-150.70050863409713</v>
      </c>
      <c r="BL29" s="1">
        <f t="shared" si="11"/>
        <v>-150.7005084209143</v>
      </c>
      <c r="BM29" s="1">
        <f t="shared" si="11"/>
        <v>-150.7005082542025</v>
      </c>
      <c r="BN29" s="1">
        <f t="shared" si="11"/>
        <v>-150.70050817030284</v>
      </c>
      <c r="BO29" s="1">
        <f t="shared" si="11"/>
        <v>-150.70050818750423</v>
      </c>
      <c r="BP29" s="1">
        <f t="shared" si="11"/>
        <v>-150.70050830205707</v>
      </c>
      <c r="BQ29" s="1">
        <f t="shared" si="11"/>
        <v>-150.7005084889903</v>
      </c>
      <c r="BR29" s="1">
        <f t="shared" si="11"/>
        <v>-150.70050870755492</v>
      </c>
      <c r="BS29" s="1">
        <f t="shared" si="11"/>
        <v>-150.70050891010675</v>
      </c>
      <c r="BT29" s="1">
        <f t="shared" si="11"/>
        <v>-150.700509052492</v>
      </c>
      <c r="BU29" s="1">
        <f t="shared" si="12"/>
        <v>-150.7005091036727</v>
      </c>
      <c r="BV29" s="1">
        <f t="shared" si="12"/>
        <v>-150.700509052492</v>
      </c>
      <c r="BW29" s="1">
        <f t="shared" si="12"/>
        <v>-150.70050891010675</v>
      </c>
      <c r="BX29" s="1">
        <f t="shared" si="12"/>
        <v>-150.70050870755492</v>
      </c>
      <c r="BY29" s="1">
        <f t="shared" si="12"/>
        <v>-150.7005084889903</v>
      </c>
      <c r="BZ29" s="1">
        <f t="shared" si="12"/>
        <v>-150.70050830205707</v>
      </c>
      <c r="CA29" s="1">
        <f t="shared" si="12"/>
        <v>-150.70050818750423</v>
      </c>
      <c r="CB29" s="1">
        <f t="shared" si="12"/>
        <v>-150.70050817030284</v>
      </c>
      <c r="CC29" s="1">
        <f t="shared" si="12"/>
        <v>-150.7005082542025</v>
      </c>
      <c r="CD29" s="1">
        <f t="shared" si="12"/>
        <v>-150.7005084209143</v>
      </c>
      <c r="CE29" s="1">
        <f t="shared" si="13"/>
        <v>-150.70050863409713</v>
      </c>
      <c r="CF29" s="1">
        <f t="shared" si="13"/>
        <v>-150.70050884727996</v>
      </c>
      <c r="CG29" s="1">
        <f t="shared" si="13"/>
        <v>-150.70050901399176</v>
      </c>
      <c r="CH29" s="1">
        <f t="shared" si="13"/>
        <v>-150.70050909789146</v>
      </c>
      <c r="CI29" s="1">
        <f t="shared" si="13"/>
        <v>-150.70050908069004</v>
      </c>
      <c r="CJ29" s="1">
        <f t="shared" si="13"/>
        <v>-150.7005089661372</v>
      </c>
      <c r="CK29" s="1">
        <f t="shared" si="13"/>
        <v>-150.70050877920397</v>
      </c>
      <c r="CL29" s="1">
        <f t="shared" si="13"/>
        <v>-150.70050856063935</v>
      </c>
      <c r="CM29" s="1">
        <f t="shared" si="13"/>
        <v>-150.70050835808755</v>
      </c>
      <c r="CN29" s="1">
        <f t="shared" si="13"/>
        <v>-150.70050821570226</v>
      </c>
      <c r="CO29" s="1">
        <f t="shared" si="13"/>
        <v>-150.70050816452158</v>
      </c>
    </row>
    <row r="30" spans="2:93" ht="12.75">
      <c r="B30">
        <f aca="true" t="shared" si="18" ref="B30:B48">-C30</f>
        <v>-0.1</v>
      </c>
      <c r="C30">
        <f aca="true" t="shared" si="19" ref="C30:C48">C29+0.05</f>
        <v>0.1</v>
      </c>
      <c r="D30">
        <f t="shared" si="4"/>
        <v>0.05047415547415548</v>
      </c>
      <c r="E30">
        <f t="shared" si="5"/>
        <v>5.047415547415551E-08</v>
      </c>
      <c r="F30">
        <f t="shared" si="14"/>
        <v>0.009486531986531986</v>
      </c>
      <c r="G30">
        <f t="shared" si="15"/>
        <v>9.486531986531999E-15</v>
      </c>
      <c r="H30">
        <f t="shared" si="16"/>
        <v>0.003806672566562487</v>
      </c>
      <c r="I30">
        <f t="shared" si="17"/>
        <v>3.806672566562494E-21</v>
      </c>
      <c r="J30" s="1">
        <f>0.000001*'deformation radiale'!J27</f>
        <v>1.3070000782998357E-07</v>
      </c>
      <c r="M30" s="1">
        <f t="shared" si="6"/>
        <v>-149.61124372192972</v>
      </c>
      <c r="N30" s="1">
        <f t="shared" si="6"/>
        <v>-149.61124698594742</v>
      </c>
      <c r="O30" s="1">
        <f t="shared" si="6"/>
        <v>-149.61125606648588</v>
      </c>
      <c r="P30" s="1">
        <f t="shared" si="6"/>
        <v>-149.6112689841031</v>
      </c>
      <c r="Q30" s="1">
        <f t="shared" si="6"/>
        <v>-149.61128292292491</v>
      </c>
      <c r="R30" s="1">
        <f t="shared" si="6"/>
        <v>-149.61129484447054</v>
      </c>
      <c r="S30" s="1">
        <f t="shared" si="6"/>
        <v>-149.6113021500013</v>
      </c>
      <c r="T30" s="1">
        <f t="shared" si="6"/>
        <v>-149.61130324700966</v>
      </c>
      <c r="U30" s="1">
        <f t="shared" si="6"/>
        <v>-149.6112978963625</v>
      </c>
      <c r="V30" s="1">
        <f t="shared" si="6"/>
        <v>-149.61128726442897</v>
      </c>
      <c r="W30" s="1">
        <f t="shared" si="7"/>
        <v>-149.61127366882874</v>
      </c>
      <c r="X30" s="1">
        <f t="shared" si="7"/>
        <v>-149.61126007322386</v>
      </c>
      <c r="Y30" s="1">
        <f t="shared" si="7"/>
        <v>-149.61124944128025</v>
      </c>
      <c r="Z30" s="1">
        <f t="shared" si="7"/>
        <v>-149.61124409062586</v>
      </c>
      <c r="AA30" s="1">
        <f t="shared" si="7"/>
        <v>-149.6112451876358</v>
      </c>
      <c r="AB30" s="1">
        <f t="shared" si="7"/>
        <v>-149.6112524931757</v>
      </c>
      <c r="AC30" s="1">
        <f t="shared" si="7"/>
        <v>-149.6112644147304</v>
      </c>
      <c r="AD30" s="1">
        <f t="shared" si="7"/>
        <v>-149.61127835355384</v>
      </c>
      <c r="AE30" s="1">
        <f t="shared" si="7"/>
        <v>-149.61129127116382</v>
      </c>
      <c r="AF30" s="1">
        <f t="shared" si="7"/>
        <v>-149.6113003516922</v>
      </c>
      <c r="AG30" s="1">
        <f t="shared" si="8"/>
        <v>-149.61130361570525</v>
      </c>
      <c r="AH30" s="1">
        <f t="shared" si="8"/>
        <v>-149.6113003516922</v>
      </c>
      <c r="AI30" s="1">
        <f t="shared" si="8"/>
        <v>-149.61129127116382</v>
      </c>
      <c r="AJ30" s="1">
        <f t="shared" si="8"/>
        <v>-149.61127835355384</v>
      </c>
      <c r="AK30" s="1">
        <f t="shared" si="8"/>
        <v>-149.6112644147304</v>
      </c>
      <c r="AL30" s="1">
        <f t="shared" si="8"/>
        <v>-149.6112524931757</v>
      </c>
      <c r="AM30" s="1">
        <f t="shared" si="8"/>
        <v>-149.6112451876358</v>
      </c>
      <c r="AN30" s="1">
        <f t="shared" si="8"/>
        <v>-149.61124409062586</v>
      </c>
      <c r="AO30" s="1">
        <f t="shared" si="8"/>
        <v>-149.61124944128025</v>
      </c>
      <c r="AP30" s="1">
        <f t="shared" si="8"/>
        <v>-149.61126007322386</v>
      </c>
      <c r="AQ30" s="1">
        <f t="shared" si="9"/>
        <v>-149.61127366882874</v>
      </c>
      <c r="AR30" s="1">
        <f t="shared" si="9"/>
        <v>-149.61128726442897</v>
      </c>
      <c r="AS30" s="1">
        <f t="shared" si="9"/>
        <v>-149.6112978963625</v>
      </c>
      <c r="AT30" s="1">
        <f t="shared" si="9"/>
        <v>-149.61130324700966</v>
      </c>
      <c r="AU30" s="1">
        <f t="shared" si="9"/>
        <v>-149.6113021500013</v>
      </c>
      <c r="AV30" s="1">
        <f t="shared" si="9"/>
        <v>-149.61129484447054</v>
      </c>
      <c r="AW30" s="1">
        <f t="shared" si="9"/>
        <v>-149.61128292292491</v>
      </c>
      <c r="AX30" s="1">
        <f t="shared" si="9"/>
        <v>-149.6112689841031</v>
      </c>
      <c r="AY30" s="1">
        <f t="shared" si="9"/>
        <v>-149.61125606648588</v>
      </c>
      <c r="AZ30" s="1">
        <f t="shared" si="9"/>
        <v>-149.61124698594742</v>
      </c>
      <c r="BA30" s="1">
        <f t="shared" si="10"/>
        <v>-149.61124372192972</v>
      </c>
      <c r="BB30" s="1">
        <f t="shared" si="10"/>
        <v>-149.61124698594742</v>
      </c>
      <c r="BC30" s="1">
        <f t="shared" si="10"/>
        <v>-149.61125606648588</v>
      </c>
      <c r="BD30" s="1">
        <f t="shared" si="10"/>
        <v>-149.6112689841031</v>
      </c>
      <c r="BE30" s="1">
        <f t="shared" si="10"/>
        <v>-149.61128292292491</v>
      </c>
      <c r="BF30" s="1">
        <f t="shared" si="10"/>
        <v>-149.61129484447054</v>
      </c>
      <c r="BG30" s="1">
        <f t="shared" si="10"/>
        <v>-149.6113021500013</v>
      </c>
      <c r="BH30" s="1">
        <f t="shared" si="10"/>
        <v>-149.61130324700966</v>
      </c>
      <c r="BI30" s="1">
        <f t="shared" si="10"/>
        <v>-149.6112978963625</v>
      </c>
      <c r="BJ30" s="1">
        <f t="shared" si="10"/>
        <v>-149.61128726442897</v>
      </c>
      <c r="BK30" s="1">
        <f t="shared" si="11"/>
        <v>-149.61127366882874</v>
      </c>
      <c r="BL30" s="1">
        <f t="shared" si="11"/>
        <v>-149.61126007322386</v>
      </c>
      <c r="BM30" s="1">
        <f t="shared" si="11"/>
        <v>-149.61124944128025</v>
      </c>
      <c r="BN30" s="1">
        <f t="shared" si="11"/>
        <v>-149.61124409062586</v>
      </c>
      <c r="BO30" s="1">
        <f t="shared" si="11"/>
        <v>-149.6112451876358</v>
      </c>
      <c r="BP30" s="1">
        <f t="shared" si="11"/>
        <v>-149.6112524931757</v>
      </c>
      <c r="BQ30" s="1">
        <f t="shared" si="11"/>
        <v>-149.6112644147304</v>
      </c>
      <c r="BR30" s="1">
        <f t="shared" si="11"/>
        <v>-149.61127835355384</v>
      </c>
      <c r="BS30" s="1">
        <f t="shared" si="11"/>
        <v>-149.61129127116382</v>
      </c>
      <c r="BT30" s="1">
        <f t="shared" si="11"/>
        <v>-149.6113003516922</v>
      </c>
      <c r="BU30" s="1">
        <f t="shared" si="12"/>
        <v>-149.61130361570525</v>
      </c>
      <c r="BV30" s="1">
        <f t="shared" si="12"/>
        <v>-149.6113003516922</v>
      </c>
      <c r="BW30" s="1">
        <f t="shared" si="12"/>
        <v>-149.61129127116382</v>
      </c>
      <c r="BX30" s="1">
        <f t="shared" si="12"/>
        <v>-149.61127835355384</v>
      </c>
      <c r="BY30" s="1">
        <f t="shared" si="12"/>
        <v>-149.6112644147304</v>
      </c>
      <c r="BZ30" s="1">
        <f t="shared" si="12"/>
        <v>-149.6112524931757</v>
      </c>
      <c r="CA30" s="1">
        <f t="shared" si="12"/>
        <v>-149.6112451876358</v>
      </c>
      <c r="CB30" s="1">
        <f t="shared" si="12"/>
        <v>-149.61124409062586</v>
      </c>
      <c r="CC30" s="1">
        <f t="shared" si="12"/>
        <v>-149.61124944128025</v>
      </c>
      <c r="CD30" s="1">
        <f t="shared" si="12"/>
        <v>-149.61126007322386</v>
      </c>
      <c r="CE30" s="1">
        <f t="shared" si="13"/>
        <v>-149.61127366882874</v>
      </c>
      <c r="CF30" s="1">
        <f t="shared" si="13"/>
        <v>-149.61128726442897</v>
      </c>
      <c r="CG30" s="1">
        <f t="shared" si="13"/>
        <v>-149.6112978963625</v>
      </c>
      <c r="CH30" s="1">
        <f t="shared" si="13"/>
        <v>-149.61130324700966</v>
      </c>
      <c r="CI30" s="1">
        <f t="shared" si="13"/>
        <v>-149.6113021500013</v>
      </c>
      <c r="CJ30" s="1">
        <f t="shared" si="13"/>
        <v>-149.61129484447054</v>
      </c>
      <c r="CK30" s="1">
        <f t="shared" si="13"/>
        <v>-149.61128292292491</v>
      </c>
      <c r="CL30" s="1">
        <f t="shared" si="13"/>
        <v>-149.6112689841031</v>
      </c>
      <c r="CM30" s="1">
        <f t="shared" si="13"/>
        <v>-149.61125606648588</v>
      </c>
      <c r="CN30" s="1">
        <f t="shared" si="13"/>
        <v>-149.61124698594742</v>
      </c>
      <c r="CO30" s="1">
        <f t="shared" si="13"/>
        <v>-149.61124372192972</v>
      </c>
    </row>
    <row r="31" spans="2:93" ht="12.75">
      <c r="B31">
        <f t="shared" si="18"/>
        <v>-0.15000000000000002</v>
      </c>
      <c r="C31">
        <f t="shared" si="19"/>
        <v>0.15000000000000002</v>
      </c>
      <c r="D31">
        <f t="shared" si="4"/>
        <v>0.05017653642653643</v>
      </c>
      <c r="E31">
        <f t="shared" si="5"/>
        <v>5.715421102335171E-07</v>
      </c>
      <c r="F31">
        <f t="shared" si="14"/>
        <v>0.009406403781403781</v>
      </c>
      <c r="G31">
        <f t="shared" si="15"/>
        <v>1.2204464433576697E-12</v>
      </c>
      <c r="H31">
        <f t="shared" si="16"/>
        <v>0.003770122858960148</v>
      </c>
      <c r="I31">
        <f t="shared" si="17"/>
        <v>5.571833959993066E-18</v>
      </c>
      <c r="J31" s="1">
        <f>0.000001*'deformation radiale'!J28</f>
        <v>1.2890723059675768E-07</v>
      </c>
      <c r="M31" s="1">
        <f t="shared" si="6"/>
        <v>-147.81815733246975</v>
      </c>
      <c r="N31" s="1">
        <f t="shared" si="6"/>
        <v>-147.81819429271783</v>
      </c>
      <c r="O31" s="1">
        <f t="shared" si="6"/>
        <v>-147.81829711642925</v>
      </c>
      <c r="P31" s="1">
        <f t="shared" si="6"/>
        <v>-147.81844338898281</v>
      </c>
      <c r="Q31" s="1">
        <f t="shared" si="6"/>
        <v>-147.8186012245885</v>
      </c>
      <c r="R31" s="1">
        <f t="shared" si="6"/>
        <v>-147.81873621720615</v>
      </c>
      <c r="S31" s="1">
        <f t="shared" si="6"/>
        <v>-147.8188189405618</v>
      </c>
      <c r="T31" s="1">
        <f t="shared" si="6"/>
        <v>-147.81883136239864</v>
      </c>
      <c r="U31" s="1">
        <f t="shared" si="6"/>
        <v>-147.8187707749806</v>
      </c>
      <c r="V31" s="1">
        <f t="shared" si="6"/>
        <v>-147.81865038529241</v>
      </c>
      <c r="W31" s="1">
        <f t="shared" si="7"/>
        <v>-147.8184964363213</v>
      </c>
      <c r="X31" s="1">
        <f t="shared" si="7"/>
        <v>-147.81834248675327</v>
      </c>
      <c r="Y31" s="1">
        <f t="shared" si="7"/>
        <v>-147.81822209576632</v>
      </c>
      <c r="Z31" s="1">
        <f t="shared" si="7"/>
        <v>-147.8181615074185</v>
      </c>
      <c r="AA31" s="1">
        <f t="shared" si="7"/>
        <v>-147.81817392946098</v>
      </c>
      <c r="AB31" s="1">
        <f t="shared" si="7"/>
        <v>-147.81825665398827</v>
      </c>
      <c r="AC31" s="1">
        <f t="shared" si="7"/>
        <v>-147.81839164777756</v>
      </c>
      <c r="AD31" s="1">
        <f t="shared" si="7"/>
        <v>-147.81854948358892</v>
      </c>
      <c r="AE31" s="1">
        <f t="shared" si="7"/>
        <v>-147.81869575521267</v>
      </c>
      <c r="AF31" s="1">
        <f t="shared" si="7"/>
        <v>-147.8187985776254</v>
      </c>
      <c r="AG31" s="1">
        <f t="shared" si="8"/>
        <v>-147.81883553727647</v>
      </c>
      <c r="AH31" s="1">
        <f t="shared" si="8"/>
        <v>-147.8187985776254</v>
      </c>
      <c r="AI31" s="1">
        <f t="shared" si="8"/>
        <v>-147.81869575521267</v>
      </c>
      <c r="AJ31" s="1">
        <f t="shared" si="8"/>
        <v>-147.81854948358892</v>
      </c>
      <c r="AK31" s="1">
        <f t="shared" si="8"/>
        <v>-147.81839164777756</v>
      </c>
      <c r="AL31" s="1">
        <f t="shared" si="8"/>
        <v>-147.81825665398827</v>
      </c>
      <c r="AM31" s="1">
        <f t="shared" si="8"/>
        <v>-147.81817392946098</v>
      </c>
      <c r="AN31" s="1">
        <f t="shared" si="8"/>
        <v>-147.8181615074185</v>
      </c>
      <c r="AO31" s="1">
        <f t="shared" si="8"/>
        <v>-147.81822209576632</v>
      </c>
      <c r="AP31" s="1">
        <f t="shared" si="8"/>
        <v>-147.81834248675327</v>
      </c>
      <c r="AQ31" s="1">
        <f t="shared" si="9"/>
        <v>-147.8184964363213</v>
      </c>
      <c r="AR31" s="1">
        <f t="shared" si="9"/>
        <v>-147.81865038529241</v>
      </c>
      <c r="AS31" s="1">
        <f t="shared" si="9"/>
        <v>-147.8187707749806</v>
      </c>
      <c r="AT31" s="1">
        <f t="shared" si="9"/>
        <v>-147.81883136239864</v>
      </c>
      <c r="AU31" s="1">
        <f t="shared" si="9"/>
        <v>-147.8188189405618</v>
      </c>
      <c r="AV31" s="1">
        <f t="shared" si="9"/>
        <v>-147.81873621720615</v>
      </c>
      <c r="AW31" s="1">
        <f t="shared" si="9"/>
        <v>-147.8186012245885</v>
      </c>
      <c r="AX31" s="1">
        <f t="shared" si="9"/>
        <v>-147.81844338898281</v>
      </c>
      <c r="AY31" s="1">
        <f t="shared" si="9"/>
        <v>-147.81829711642925</v>
      </c>
      <c r="AZ31" s="1">
        <f t="shared" si="9"/>
        <v>-147.81819429271783</v>
      </c>
      <c r="BA31" s="1">
        <f t="shared" si="10"/>
        <v>-147.81815733246975</v>
      </c>
      <c r="BB31" s="1">
        <f t="shared" si="10"/>
        <v>-147.81819429271783</v>
      </c>
      <c r="BC31" s="1">
        <f t="shared" si="10"/>
        <v>-147.81829711642925</v>
      </c>
      <c r="BD31" s="1">
        <f t="shared" si="10"/>
        <v>-147.81844338898281</v>
      </c>
      <c r="BE31" s="1">
        <f t="shared" si="10"/>
        <v>-147.8186012245885</v>
      </c>
      <c r="BF31" s="1">
        <f t="shared" si="10"/>
        <v>-147.81873621720615</v>
      </c>
      <c r="BG31" s="1">
        <f t="shared" si="10"/>
        <v>-147.8188189405618</v>
      </c>
      <c r="BH31" s="1">
        <f t="shared" si="10"/>
        <v>-147.81883136239864</v>
      </c>
      <c r="BI31" s="1">
        <f t="shared" si="10"/>
        <v>-147.8187707749806</v>
      </c>
      <c r="BJ31" s="1">
        <f t="shared" si="10"/>
        <v>-147.81865038529241</v>
      </c>
      <c r="BK31" s="1">
        <f t="shared" si="11"/>
        <v>-147.8184964363213</v>
      </c>
      <c r="BL31" s="1">
        <f t="shared" si="11"/>
        <v>-147.81834248675327</v>
      </c>
      <c r="BM31" s="1">
        <f t="shared" si="11"/>
        <v>-147.81822209576632</v>
      </c>
      <c r="BN31" s="1">
        <f t="shared" si="11"/>
        <v>-147.8181615074185</v>
      </c>
      <c r="BO31" s="1">
        <f t="shared" si="11"/>
        <v>-147.81817392946098</v>
      </c>
      <c r="BP31" s="1">
        <f t="shared" si="11"/>
        <v>-147.81825665398827</v>
      </c>
      <c r="BQ31" s="1">
        <f t="shared" si="11"/>
        <v>-147.81839164777756</v>
      </c>
      <c r="BR31" s="1">
        <f t="shared" si="11"/>
        <v>-147.81854948358892</v>
      </c>
      <c r="BS31" s="1">
        <f t="shared" si="11"/>
        <v>-147.81869575521267</v>
      </c>
      <c r="BT31" s="1">
        <f t="shared" si="11"/>
        <v>-147.8187985776254</v>
      </c>
      <c r="BU31" s="1">
        <f t="shared" si="12"/>
        <v>-147.81883553727647</v>
      </c>
      <c r="BV31" s="1">
        <f t="shared" si="12"/>
        <v>-147.8187985776254</v>
      </c>
      <c r="BW31" s="1">
        <f t="shared" si="12"/>
        <v>-147.81869575521267</v>
      </c>
      <c r="BX31" s="1">
        <f t="shared" si="12"/>
        <v>-147.81854948358892</v>
      </c>
      <c r="BY31" s="1">
        <f t="shared" si="12"/>
        <v>-147.81839164777756</v>
      </c>
      <c r="BZ31" s="1">
        <f t="shared" si="12"/>
        <v>-147.81825665398827</v>
      </c>
      <c r="CA31" s="1">
        <f t="shared" si="12"/>
        <v>-147.81817392946098</v>
      </c>
      <c r="CB31" s="1">
        <f t="shared" si="12"/>
        <v>-147.8181615074185</v>
      </c>
      <c r="CC31" s="1">
        <f t="shared" si="12"/>
        <v>-147.81822209576632</v>
      </c>
      <c r="CD31" s="1">
        <f t="shared" si="12"/>
        <v>-147.81834248675327</v>
      </c>
      <c r="CE31" s="1">
        <f t="shared" si="13"/>
        <v>-147.8184964363213</v>
      </c>
      <c r="CF31" s="1">
        <f t="shared" si="13"/>
        <v>-147.81865038529241</v>
      </c>
      <c r="CG31" s="1">
        <f t="shared" si="13"/>
        <v>-147.8187707749806</v>
      </c>
      <c r="CH31" s="1">
        <f t="shared" si="13"/>
        <v>-147.81883136239864</v>
      </c>
      <c r="CI31" s="1">
        <f t="shared" si="13"/>
        <v>-147.8188189405618</v>
      </c>
      <c r="CJ31" s="1">
        <f t="shared" si="13"/>
        <v>-147.81873621720615</v>
      </c>
      <c r="CK31" s="1">
        <f t="shared" si="13"/>
        <v>-147.8186012245885</v>
      </c>
      <c r="CL31" s="1">
        <f t="shared" si="13"/>
        <v>-147.81844338898281</v>
      </c>
      <c r="CM31" s="1">
        <f t="shared" si="13"/>
        <v>-147.81829711642925</v>
      </c>
      <c r="CN31" s="1">
        <f t="shared" si="13"/>
        <v>-147.81819429271783</v>
      </c>
      <c r="CO31" s="1">
        <f t="shared" si="13"/>
        <v>-147.81815733246975</v>
      </c>
    </row>
    <row r="32" spans="2:93" ht="12.75">
      <c r="B32">
        <f t="shared" si="18"/>
        <v>-0.2</v>
      </c>
      <c r="C32">
        <f t="shared" si="19"/>
        <v>0.2</v>
      </c>
      <c r="D32">
        <f t="shared" si="4"/>
        <v>0.04975986975986976</v>
      </c>
      <c r="E32">
        <f t="shared" si="5"/>
        <v>3.184631664631667E-06</v>
      </c>
      <c r="F32">
        <f t="shared" si="14"/>
        <v>0.009294224294224294</v>
      </c>
      <c r="G32">
        <f t="shared" si="15"/>
        <v>3.8069142709142766E-11</v>
      </c>
      <c r="H32">
        <f t="shared" si="16"/>
        <v>0.003718953268316873</v>
      </c>
      <c r="I32">
        <f t="shared" si="17"/>
        <v>9.749012855696602E-16</v>
      </c>
      <c r="J32" s="1">
        <f>0.000001*'deformation radiale'!J29</f>
        <v>1.2644483265892571E-07</v>
      </c>
      <c r="M32" s="1">
        <f t="shared" si="6"/>
        <v>-145.35420899716388</v>
      </c>
      <c r="N32" s="1">
        <f t="shared" si="6"/>
        <v>-145.35441494725072</v>
      </c>
      <c r="O32" s="1">
        <f t="shared" si="6"/>
        <v>-145.3549878974333</v>
      </c>
      <c r="P32" s="1">
        <f t="shared" si="6"/>
        <v>-145.35580293976372</v>
      </c>
      <c r="Q32" s="1">
        <f t="shared" si="6"/>
        <v>-145.35668239685464</v>
      </c>
      <c r="R32" s="1">
        <f t="shared" si="6"/>
        <v>-145.35743456048124</v>
      </c>
      <c r="S32" s="1">
        <f t="shared" si="6"/>
        <v>-145.35789547986906</v>
      </c>
      <c r="T32" s="1">
        <f t="shared" si="6"/>
        <v>-145.35796469168747</v>
      </c>
      <c r="U32" s="1">
        <f t="shared" si="6"/>
        <v>-145.35762711060872</v>
      </c>
      <c r="V32" s="1">
        <f t="shared" si="6"/>
        <v>-145.3569563161087</v>
      </c>
      <c r="W32" s="1">
        <f t="shared" si="7"/>
        <v>-145.35609852035154</v>
      </c>
      <c r="X32" s="1">
        <f t="shared" si="7"/>
        <v>-145.3552407059731</v>
      </c>
      <c r="Y32" s="1">
        <f t="shared" si="7"/>
        <v>-145.35456987096117</v>
      </c>
      <c r="Z32" s="1">
        <f t="shared" si="7"/>
        <v>-145.35423226087912</v>
      </c>
      <c r="AA32" s="1">
        <f t="shared" si="7"/>
        <v>-145.35430147911396</v>
      </c>
      <c r="AB32" s="1">
        <f t="shared" si="7"/>
        <v>-145.35476243504812</v>
      </c>
      <c r="AC32" s="1">
        <f t="shared" si="7"/>
        <v>-145.355514635221</v>
      </c>
      <c r="AD32" s="1">
        <f t="shared" si="7"/>
        <v>-145.35639409872834</v>
      </c>
      <c r="AE32" s="1">
        <f t="shared" si="7"/>
        <v>-145.3572091120555</v>
      </c>
      <c r="AF32" s="1">
        <f t="shared" si="7"/>
        <v>-145.3577820217262</v>
      </c>
      <c r="AG32" s="1">
        <f t="shared" si="8"/>
        <v>-145.35798795319175</v>
      </c>
      <c r="AH32" s="1">
        <f t="shared" si="8"/>
        <v>-145.3577820217262</v>
      </c>
      <c r="AI32" s="1">
        <f t="shared" si="8"/>
        <v>-145.3572091120555</v>
      </c>
      <c r="AJ32" s="1">
        <f t="shared" si="8"/>
        <v>-145.35639409872834</v>
      </c>
      <c r="AK32" s="1">
        <f t="shared" si="8"/>
        <v>-145.355514635221</v>
      </c>
      <c r="AL32" s="1">
        <f t="shared" si="8"/>
        <v>-145.35476243504812</v>
      </c>
      <c r="AM32" s="1">
        <f t="shared" si="8"/>
        <v>-145.35430147911396</v>
      </c>
      <c r="AN32" s="1">
        <f t="shared" si="8"/>
        <v>-145.35423226087912</v>
      </c>
      <c r="AO32" s="1">
        <f t="shared" si="8"/>
        <v>-145.35456987096117</v>
      </c>
      <c r="AP32" s="1">
        <f t="shared" si="8"/>
        <v>-145.3552407059731</v>
      </c>
      <c r="AQ32" s="1">
        <f t="shared" si="9"/>
        <v>-145.35609852035154</v>
      </c>
      <c r="AR32" s="1">
        <f t="shared" si="9"/>
        <v>-145.3569563161087</v>
      </c>
      <c r="AS32" s="1">
        <f t="shared" si="9"/>
        <v>-145.35762711060872</v>
      </c>
      <c r="AT32" s="1">
        <f t="shared" si="9"/>
        <v>-145.35796469168747</v>
      </c>
      <c r="AU32" s="1">
        <f t="shared" si="9"/>
        <v>-145.35789547986906</v>
      </c>
      <c r="AV32" s="1">
        <f t="shared" si="9"/>
        <v>-145.35743456048124</v>
      </c>
      <c r="AW32" s="1">
        <f t="shared" si="9"/>
        <v>-145.35668239685464</v>
      </c>
      <c r="AX32" s="1">
        <f t="shared" si="9"/>
        <v>-145.35580293976372</v>
      </c>
      <c r="AY32" s="1">
        <f t="shared" si="9"/>
        <v>-145.3549878974333</v>
      </c>
      <c r="AZ32" s="1">
        <f t="shared" si="9"/>
        <v>-145.35441494725072</v>
      </c>
      <c r="BA32" s="1">
        <f t="shared" si="10"/>
        <v>-145.35420899716388</v>
      </c>
      <c r="BB32" s="1">
        <f t="shared" si="10"/>
        <v>-145.35441494725072</v>
      </c>
      <c r="BC32" s="1">
        <f t="shared" si="10"/>
        <v>-145.3549878974333</v>
      </c>
      <c r="BD32" s="1">
        <f t="shared" si="10"/>
        <v>-145.35580293976372</v>
      </c>
      <c r="BE32" s="1">
        <f t="shared" si="10"/>
        <v>-145.35668239685464</v>
      </c>
      <c r="BF32" s="1">
        <f t="shared" si="10"/>
        <v>-145.35743456048124</v>
      </c>
      <c r="BG32" s="1">
        <f t="shared" si="10"/>
        <v>-145.35789547986906</v>
      </c>
      <c r="BH32" s="1">
        <f t="shared" si="10"/>
        <v>-145.35796469168747</v>
      </c>
      <c r="BI32" s="1">
        <f t="shared" si="10"/>
        <v>-145.35762711060872</v>
      </c>
      <c r="BJ32" s="1">
        <f t="shared" si="10"/>
        <v>-145.3569563161087</v>
      </c>
      <c r="BK32" s="1">
        <f t="shared" si="11"/>
        <v>-145.35609852035154</v>
      </c>
      <c r="BL32" s="1">
        <f t="shared" si="11"/>
        <v>-145.3552407059731</v>
      </c>
      <c r="BM32" s="1">
        <f t="shared" si="11"/>
        <v>-145.35456987096117</v>
      </c>
      <c r="BN32" s="1">
        <f t="shared" si="11"/>
        <v>-145.35423226087912</v>
      </c>
      <c r="BO32" s="1">
        <f t="shared" si="11"/>
        <v>-145.35430147911396</v>
      </c>
      <c r="BP32" s="1">
        <f t="shared" si="11"/>
        <v>-145.35476243504812</v>
      </c>
      <c r="BQ32" s="1">
        <f t="shared" si="11"/>
        <v>-145.355514635221</v>
      </c>
      <c r="BR32" s="1">
        <f t="shared" si="11"/>
        <v>-145.35639409872834</v>
      </c>
      <c r="BS32" s="1">
        <f t="shared" si="11"/>
        <v>-145.3572091120555</v>
      </c>
      <c r="BT32" s="1">
        <f t="shared" si="11"/>
        <v>-145.3577820217262</v>
      </c>
      <c r="BU32" s="1">
        <f t="shared" si="12"/>
        <v>-145.35798795319175</v>
      </c>
      <c r="BV32" s="1">
        <f t="shared" si="12"/>
        <v>-145.3577820217262</v>
      </c>
      <c r="BW32" s="1">
        <f t="shared" si="12"/>
        <v>-145.3572091120555</v>
      </c>
      <c r="BX32" s="1">
        <f t="shared" si="12"/>
        <v>-145.35639409872834</v>
      </c>
      <c r="BY32" s="1">
        <f t="shared" si="12"/>
        <v>-145.355514635221</v>
      </c>
      <c r="BZ32" s="1">
        <f t="shared" si="12"/>
        <v>-145.35476243504812</v>
      </c>
      <c r="CA32" s="1">
        <f t="shared" si="12"/>
        <v>-145.35430147911396</v>
      </c>
      <c r="CB32" s="1">
        <f t="shared" si="12"/>
        <v>-145.35423226087912</v>
      </c>
      <c r="CC32" s="1">
        <f t="shared" si="12"/>
        <v>-145.35456987096117</v>
      </c>
      <c r="CD32" s="1">
        <f t="shared" si="12"/>
        <v>-145.3552407059731</v>
      </c>
      <c r="CE32" s="1">
        <f t="shared" si="13"/>
        <v>-145.35609852035154</v>
      </c>
      <c r="CF32" s="1">
        <f t="shared" si="13"/>
        <v>-145.3569563161087</v>
      </c>
      <c r="CG32" s="1">
        <f t="shared" si="13"/>
        <v>-145.35762711060872</v>
      </c>
      <c r="CH32" s="1">
        <f t="shared" si="13"/>
        <v>-145.35796469168747</v>
      </c>
      <c r="CI32" s="1">
        <f t="shared" si="13"/>
        <v>-145.35789547986906</v>
      </c>
      <c r="CJ32" s="1">
        <f t="shared" si="13"/>
        <v>-145.35743456048124</v>
      </c>
      <c r="CK32" s="1">
        <f t="shared" si="13"/>
        <v>-145.35668239685464</v>
      </c>
      <c r="CL32" s="1">
        <f t="shared" si="13"/>
        <v>-145.35580293976372</v>
      </c>
      <c r="CM32" s="1">
        <f t="shared" si="13"/>
        <v>-145.3549878974333</v>
      </c>
      <c r="CN32" s="1">
        <f t="shared" si="13"/>
        <v>-145.35441494725072</v>
      </c>
      <c r="CO32" s="1">
        <f t="shared" si="13"/>
        <v>-145.35420899716388</v>
      </c>
    </row>
    <row r="33" spans="2:93" ht="12.75">
      <c r="B33">
        <f t="shared" si="18"/>
        <v>-0.25</v>
      </c>
      <c r="C33">
        <f t="shared" si="19"/>
        <v>0.25</v>
      </c>
      <c r="D33">
        <f t="shared" si="4"/>
        <v>0.04922415547415548</v>
      </c>
      <c r="E33">
        <f t="shared" si="5"/>
        <v>1.201761608255749E-05</v>
      </c>
      <c r="F33">
        <f t="shared" si="14"/>
        <v>0.009149993524993525</v>
      </c>
      <c r="G33">
        <f t="shared" si="15"/>
        <v>5.453821137543633E-10</v>
      </c>
      <c r="H33">
        <f t="shared" si="16"/>
        <v>0.0036531637946326627</v>
      </c>
      <c r="I33">
        <f t="shared" si="17"/>
        <v>5.316052985483348E-14</v>
      </c>
      <c r="J33" s="1">
        <f>0.000001*'deformation radiale'!J30</f>
        <v>1.2336030420517214E-07</v>
      </c>
      <c r="M33" s="1">
        <f t="shared" si="6"/>
        <v>-142.26443953274784</v>
      </c>
      <c r="N33" s="1">
        <f t="shared" si="6"/>
        <v>-142.26521681006813</v>
      </c>
      <c r="O33" s="1">
        <f t="shared" si="6"/>
        <v>-142.267379124825</v>
      </c>
      <c r="P33" s="1">
        <f t="shared" si="6"/>
        <v>-142.2704549446335</v>
      </c>
      <c r="Q33" s="1">
        <f t="shared" si="6"/>
        <v>-142.27377365492018</v>
      </c>
      <c r="R33" s="1">
        <f t="shared" si="6"/>
        <v>-142.27661184801923</v>
      </c>
      <c r="S33" s="1">
        <f t="shared" si="6"/>
        <v>-142.2783509936251</v>
      </c>
      <c r="T33" s="1">
        <f t="shared" si="6"/>
        <v>-142.27861213944502</v>
      </c>
      <c r="U33" s="1">
        <f t="shared" si="6"/>
        <v>-142.27733838697065</v>
      </c>
      <c r="V33" s="1">
        <f t="shared" si="6"/>
        <v>-142.27480727163137</v>
      </c>
      <c r="W33" s="1">
        <f t="shared" si="7"/>
        <v>-142.27157036756154</v>
      </c>
      <c r="X33" s="1">
        <f t="shared" si="7"/>
        <v>-142.26833319672164</v>
      </c>
      <c r="Y33" s="1">
        <f t="shared" si="7"/>
        <v>-142.26580150100534</v>
      </c>
      <c r="Z33" s="1">
        <f t="shared" si="7"/>
        <v>-142.2645273330269</v>
      </c>
      <c r="AA33" s="1">
        <f t="shared" si="7"/>
        <v>-142.26478857076947</v>
      </c>
      <c r="AB33" s="1">
        <f t="shared" si="7"/>
        <v>-142.26652823994107</v>
      </c>
      <c r="AC33" s="1">
        <f t="shared" si="7"/>
        <v>-142.26936695660575</v>
      </c>
      <c r="AD33" s="1">
        <f t="shared" si="7"/>
        <v>-142.27268575881513</v>
      </c>
      <c r="AE33" s="1">
        <f t="shared" si="7"/>
        <v>-142.27576116311954</v>
      </c>
      <c r="AF33" s="1">
        <f t="shared" si="7"/>
        <v>-142.27792289749942</v>
      </c>
      <c r="AG33" s="1">
        <f t="shared" si="8"/>
        <v>-142.27869990804965</v>
      </c>
      <c r="AH33" s="1">
        <f t="shared" si="8"/>
        <v>-142.27792289749942</v>
      </c>
      <c r="AI33" s="1">
        <f t="shared" si="8"/>
        <v>-142.27576116311954</v>
      </c>
      <c r="AJ33" s="1">
        <f t="shared" si="8"/>
        <v>-142.27268575881513</v>
      </c>
      <c r="AK33" s="1">
        <f t="shared" si="8"/>
        <v>-142.26936695660575</v>
      </c>
      <c r="AL33" s="1">
        <f t="shared" si="8"/>
        <v>-142.26652823994107</v>
      </c>
      <c r="AM33" s="1">
        <f t="shared" si="8"/>
        <v>-142.26478857076947</v>
      </c>
      <c r="AN33" s="1">
        <f t="shared" si="8"/>
        <v>-142.2645273330269</v>
      </c>
      <c r="AO33" s="1">
        <f t="shared" si="8"/>
        <v>-142.26580150100534</v>
      </c>
      <c r="AP33" s="1">
        <f t="shared" si="8"/>
        <v>-142.26833319672164</v>
      </c>
      <c r="AQ33" s="1">
        <f t="shared" si="9"/>
        <v>-142.27157036756154</v>
      </c>
      <c r="AR33" s="1">
        <f t="shared" si="9"/>
        <v>-142.27480727163137</v>
      </c>
      <c r="AS33" s="1">
        <f t="shared" si="9"/>
        <v>-142.27733838697065</v>
      </c>
      <c r="AT33" s="1">
        <f t="shared" si="9"/>
        <v>-142.27861213944502</v>
      </c>
      <c r="AU33" s="1">
        <f t="shared" si="9"/>
        <v>-142.2783509936251</v>
      </c>
      <c r="AV33" s="1">
        <f t="shared" si="9"/>
        <v>-142.27661184801923</v>
      </c>
      <c r="AW33" s="1">
        <f t="shared" si="9"/>
        <v>-142.27377365492018</v>
      </c>
      <c r="AX33" s="1">
        <f t="shared" si="9"/>
        <v>-142.2704549446335</v>
      </c>
      <c r="AY33" s="1">
        <f t="shared" si="9"/>
        <v>-142.267379124825</v>
      </c>
      <c r="AZ33" s="1">
        <f t="shared" si="9"/>
        <v>-142.26521681006813</v>
      </c>
      <c r="BA33" s="1">
        <f t="shared" si="10"/>
        <v>-142.26443953274784</v>
      </c>
      <c r="BB33" s="1">
        <f t="shared" si="10"/>
        <v>-142.26521681006813</v>
      </c>
      <c r="BC33" s="1">
        <f t="shared" si="10"/>
        <v>-142.267379124825</v>
      </c>
      <c r="BD33" s="1">
        <f t="shared" si="10"/>
        <v>-142.2704549446335</v>
      </c>
      <c r="BE33" s="1">
        <f t="shared" si="10"/>
        <v>-142.27377365492018</v>
      </c>
      <c r="BF33" s="1">
        <f t="shared" si="10"/>
        <v>-142.27661184801923</v>
      </c>
      <c r="BG33" s="1">
        <f t="shared" si="10"/>
        <v>-142.2783509936251</v>
      </c>
      <c r="BH33" s="1">
        <f t="shared" si="10"/>
        <v>-142.27861213944502</v>
      </c>
      <c r="BI33" s="1">
        <f t="shared" si="10"/>
        <v>-142.27733838697065</v>
      </c>
      <c r="BJ33" s="1">
        <f t="shared" si="10"/>
        <v>-142.27480727163137</v>
      </c>
      <c r="BK33" s="1">
        <f t="shared" si="11"/>
        <v>-142.27157036756154</v>
      </c>
      <c r="BL33" s="1">
        <f t="shared" si="11"/>
        <v>-142.26833319672164</v>
      </c>
      <c r="BM33" s="1">
        <f t="shared" si="11"/>
        <v>-142.26580150100534</v>
      </c>
      <c r="BN33" s="1">
        <f t="shared" si="11"/>
        <v>-142.2645273330269</v>
      </c>
      <c r="BO33" s="1">
        <f t="shared" si="11"/>
        <v>-142.26478857076947</v>
      </c>
      <c r="BP33" s="1">
        <f t="shared" si="11"/>
        <v>-142.26652823994107</v>
      </c>
      <c r="BQ33" s="1">
        <f t="shared" si="11"/>
        <v>-142.26936695660575</v>
      </c>
      <c r="BR33" s="1">
        <f t="shared" si="11"/>
        <v>-142.27268575881513</v>
      </c>
      <c r="BS33" s="1">
        <f t="shared" si="11"/>
        <v>-142.27576116311954</v>
      </c>
      <c r="BT33" s="1">
        <f t="shared" si="11"/>
        <v>-142.27792289749942</v>
      </c>
      <c r="BU33" s="1">
        <f t="shared" si="12"/>
        <v>-142.27869990804965</v>
      </c>
      <c r="BV33" s="1">
        <f t="shared" si="12"/>
        <v>-142.27792289749942</v>
      </c>
      <c r="BW33" s="1">
        <f t="shared" si="12"/>
        <v>-142.27576116311954</v>
      </c>
      <c r="BX33" s="1">
        <f t="shared" si="12"/>
        <v>-142.27268575881513</v>
      </c>
      <c r="BY33" s="1">
        <f t="shared" si="12"/>
        <v>-142.26936695660575</v>
      </c>
      <c r="BZ33" s="1">
        <f t="shared" si="12"/>
        <v>-142.26652823994107</v>
      </c>
      <c r="CA33" s="1">
        <f t="shared" si="12"/>
        <v>-142.26478857076947</v>
      </c>
      <c r="CB33" s="1">
        <f t="shared" si="12"/>
        <v>-142.2645273330269</v>
      </c>
      <c r="CC33" s="1">
        <f t="shared" si="12"/>
        <v>-142.26580150100534</v>
      </c>
      <c r="CD33" s="1">
        <f t="shared" si="12"/>
        <v>-142.26833319672164</v>
      </c>
      <c r="CE33" s="1">
        <f t="shared" si="13"/>
        <v>-142.27157036756154</v>
      </c>
      <c r="CF33" s="1">
        <f t="shared" si="13"/>
        <v>-142.27480727163137</v>
      </c>
      <c r="CG33" s="1">
        <f t="shared" si="13"/>
        <v>-142.27733838697065</v>
      </c>
      <c r="CH33" s="1">
        <f t="shared" si="13"/>
        <v>-142.27861213944502</v>
      </c>
      <c r="CI33" s="1">
        <f t="shared" si="13"/>
        <v>-142.2783509936251</v>
      </c>
      <c r="CJ33" s="1">
        <f t="shared" si="13"/>
        <v>-142.27661184801923</v>
      </c>
      <c r="CK33" s="1">
        <f t="shared" si="13"/>
        <v>-142.27377365492018</v>
      </c>
      <c r="CL33" s="1">
        <f t="shared" si="13"/>
        <v>-142.2704549446335</v>
      </c>
      <c r="CM33" s="1">
        <f t="shared" si="13"/>
        <v>-142.267379124825</v>
      </c>
      <c r="CN33" s="1">
        <f t="shared" si="13"/>
        <v>-142.26521681006813</v>
      </c>
      <c r="CO33" s="1">
        <f t="shared" si="13"/>
        <v>-142.26443953274784</v>
      </c>
    </row>
    <row r="34" spans="2:93" ht="12.75">
      <c r="B34">
        <f t="shared" si="18"/>
        <v>-0.3</v>
      </c>
      <c r="C34">
        <f t="shared" si="19"/>
        <v>0.3</v>
      </c>
      <c r="D34">
        <f t="shared" si="4"/>
        <v>0.048569393569393576</v>
      </c>
      <c r="E34">
        <f t="shared" si="5"/>
        <v>3.5407087912087916E-05</v>
      </c>
      <c r="F34">
        <f t="shared" si="14"/>
        <v>0.008973711473711473</v>
      </c>
      <c r="G34">
        <f t="shared" si="15"/>
        <v>4.768998199300698E-09</v>
      </c>
      <c r="H34">
        <f t="shared" si="16"/>
        <v>0.0035727544379075167</v>
      </c>
      <c r="I34">
        <f t="shared" si="17"/>
        <v>1.3841582714110498E-12</v>
      </c>
      <c r="J34" s="1">
        <f>0.000001*'deformation radiale'!J31</f>
        <v>1.1971470404951945E-07</v>
      </c>
      <c r="M34" s="1">
        <f t="shared" si="6"/>
        <v>-138.60495963200094</v>
      </c>
      <c r="N34" s="1">
        <f t="shared" si="6"/>
        <v>-138.6072504707444</v>
      </c>
      <c r="O34" s="1">
        <f t="shared" si="6"/>
        <v>-138.61362290668885</v>
      </c>
      <c r="P34" s="1">
        <f t="shared" si="6"/>
        <v>-138.6226862930989</v>
      </c>
      <c r="Q34" s="1">
        <f t="shared" si="6"/>
        <v>-138.63246382830508</v>
      </c>
      <c r="R34" s="1">
        <f t="shared" si="6"/>
        <v>-138.6408243809432</v>
      </c>
      <c r="S34" s="1">
        <f t="shared" si="6"/>
        <v>-138.64594684784595</v>
      </c>
      <c r="T34" s="1">
        <f t="shared" si="6"/>
        <v>-138.6467159862846</v>
      </c>
      <c r="U34" s="1">
        <f t="shared" si="6"/>
        <v>-138.64296437784532</v>
      </c>
      <c r="V34" s="1">
        <f t="shared" si="6"/>
        <v>-138.63550872252088</v>
      </c>
      <c r="W34" s="1">
        <f t="shared" si="7"/>
        <v>-138.62597271703837</v>
      </c>
      <c r="X34" s="1">
        <f t="shared" si="7"/>
        <v>-138.61643437883208</v>
      </c>
      <c r="Y34" s="1">
        <f t="shared" si="7"/>
        <v>-138.60897364850263</v>
      </c>
      <c r="Z34" s="1">
        <f t="shared" si="7"/>
        <v>-138.6052184067609</v>
      </c>
      <c r="AA34" s="1">
        <f t="shared" si="7"/>
        <v>-138.60598834900136</v>
      </c>
      <c r="AB34" s="1">
        <f t="shared" si="7"/>
        <v>-138.61111539413227</v>
      </c>
      <c r="AC34" s="1">
        <f t="shared" si="7"/>
        <v>-138.61948052499855</v>
      </c>
      <c r="AD34" s="1">
        <f t="shared" si="7"/>
        <v>-138.62925886400657</v>
      </c>
      <c r="AE34" s="1">
        <f t="shared" si="7"/>
        <v>-138.6383186171142</v>
      </c>
      <c r="AF34" s="1">
        <f t="shared" si="7"/>
        <v>-138.64468597805364</v>
      </c>
      <c r="AG34" s="1">
        <f t="shared" si="8"/>
        <v>-138.64697448407333</v>
      </c>
      <c r="AH34" s="1">
        <f t="shared" si="8"/>
        <v>-138.64468597805364</v>
      </c>
      <c r="AI34" s="1">
        <f t="shared" si="8"/>
        <v>-138.6383186171142</v>
      </c>
      <c r="AJ34" s="1">
        <f t="shared" si="8"/>
        <v>-138.62925886400657</v>
      </c>
      <c r="AK34" s="1">
        <f t="shared" si="8"/>
        <v>-138.61948052499855</v>
      </c>
      <c r="AL34" s="1">
        <f t="shared" si="8"/>
        <v>-138.61111539413227</v>
      </c>
      <c r="AM34" s="1">
        <f t="shared" si="8"/>
        <v>-138.60598834900136</v>
      </c>
      <c r="AN34" s="1">
        <f t="shared" si="8"/>
        <v>-138.6052184067609</v>
      </c>
      <c r="AO34" s="1">
        <f t="shared" si="8"/>
        <v>-138.60897364850263</v>
      </c>
      <c r="AP34" s="1">
        <f t="shared" si="8"/>
        <v>-138.61643437883208</v>
      </c>
      <c r="AQ34" s="1">
        <f t="shared" si="9"/>
        <v>-138.62597271703837</v>
      </c>
      <c r="AR34" s="1">
        <f t="shared" si="9"/>
        <v>-138.63550872252088</v>
      </c>
      <c r="AS34" s="1">
        <f t="shared" si="9"/>
        <v>-138.64296437784532</v>
      </c>
      <c r="AT34" s="1">
        <f t="shared" si="9"/>
        <v>-138.6467159862846</v>
      </c>
      <c r="AU34" s="1">
        <f t="shared" si="9"/>
        <v>-138.64594684784595</v>
      </c>
      <c r="AV34" s="1">
        <f t="shared" si="9"/>
        <v>-138.6408243809432</v>
      </c>
      <c r="AW34" s="1">
        <f t="shared" si="9"/>
        <v>-138.63246382830508</v>
      </c>
      <c r="AX34" s="1">
        <f t="shared" si="9"/>
        <v>-138.6226862930989</v>
      </c>
      <c r="AY34" s="1">
        <f t="shared" si="9"/>
        <v>-138.61362290668885</v>
      </c>
      <c r="AZ34" s="1">
        <f t="shared" si="9"/>
        <v>-138.6072504707444</v>
      </c>
      <c r="BA34" s="1">
        <f t="shared" si="10"/>
        <v>-138.60495963200094</v>
      </c>
      <c r="BB34" s="1">
        <f t="shared" si="10"/>
        <v>-138.6072504707444</v>
      </c>
      <c r="BC34" s="1">
        <f t="shared" si="10"/>
        <v>-138.61362290668885</v>
      </c>
      <c r="BD34" s="1">
        <f t="shared" si="10"/>
        <v>-138.6226862930989</v>
      </c>
      <c r="BE34" s="1">
        <f t="shared" si="10"/>
        <v>-138.63246382830508</v>
      </c>
      <c r="BF34" s="1">
        <f t="shared" si="10"/>
        <v>-138.6408243809432</v>
      </c>
      <c r="BG34" s="1">
        <f t="shared" si="10"/>
        <v>-138.64594684784595</v>
      </c>
      <c r="BH34" s="1">
        <f t="shared" si="10"/>
        <v>-138.6467159862846</v>
      </c>
      <c r="BI34" s="1">
        <f t="shared" si="10"/>
        <v>-138.64296437784532</v>
      </c>
      <c r="BJ34" s="1">
        <f t="shared" si="10"/>
        <v>-138.63550872252088</v>
      </c>
      <c r="BK34" s="1">
        <f t="shared" si="11"/>
        <v>-138.62597271703837</v>
      </c>
      <c r="BL34" s="1">
        <f t="shared" si="11"/>
        <v>-138.61643437883208</v>
      </c>
      <c r="BM34" s="1">
        <f t="shared" si="11"/>
        <v>-138.60897364850263</v>
      </c>
      <c r="BN34" s="1">
        <f t="shared" si="11"/>
        <v>-138.6052184067609</v>
      </c>
      <c r="BO34" s="1">
        <f t="shared" si="11"/>
        <v>-138.60598834900136</v>
      </c>
      <c r="BP34" s="1">
        <f t="shared" si="11"/>
        <v>-138.61111539413227</v>
      </c>
      <c r="BQ34" s="1">
        <f t="shared" si="11"/>
        <v>-138.61948052499855</v>
      </c>
      <c r="BR34" s="1">
        <f t="shared" si="11"/>
        <v>-138.62925886400657</v>
      </c>
      <c r="BS34" s="1">
        <f t="shared" si="11"/>
        <v>-138.6383186171142</v>
      </c>
      <c r="BT34" s="1">
        <f t="shared" si="11"/>
        <v>-138.64468597805364</v>
      </c>
      <c r="BU34" s="1">
        <f t="shared" si="12"/>
        <v>-138.64697448407333</v>
      </c>
      <c r="BV34" s="1">
        <f t="shared" si="12"/>
        <v>-138.64468597805364</v>
      </c>
      <c r="BW34" s="1">
        <f t="shared" si="12"/>
        <v>-138.6383186171142</v>
      </c>
      <c r="BX34" s="1">
        <f t="shared" si="12"/>
        <v>-138.62925886400657</v>
      </c>
      <c r="BY34" s="1">
        <f t="shared" si="12"/>
        <v>-138.61948052499855</v>
      </c>
      <c r="BZ34" s="1">
        <f t="shared" si="12"/>
        <v>-138.61111539413227</v>
      </c>
      <c r="CA34" s="1">
        <f t="shared" si="12"/>
        <v>-138.60598834900136</v>
      </c>
      <c r="CB34" s="1">
        <f t="shared" si="12"/>
        <v>-138.6052184067609</v>
      </c>
      <c r="CC34" s="1">
        <f t="shared" si="12"/>
        <v>-138.60897364850263</v>
      </c>
      <c r="CD34" s="1">
        <f t="shared" si="12"/>
        <v>-138.61643437883208</v>
      </c>
      <c r="CE34" s="1">
        <f t="shared" si="13"/>
        <v>-138.62597271703837</v>
      </c>
      <c r="CF34" s="1">
        <f t="shared" si="13"/>
        <v>-138.63550872252088</v>
      </c>
      <c r="CG34" s="1">
        <f t="shared" si="13"/>
        <v>-138.64296437784532</v>
      </c>
      <c r="CH34" s="1">
        <f t="shared" si="13"/>
        <v>-138.6467159862846</v>
      </c>
      <c r="CI34" s="1">
        <f t="shared" si="13"/>
        <v>-138.64594684784595</v>
      </c>
      <c r="CJ34" s="1">
        <f t="shared" si="13"/>
        <v>-138.6408243809432</v>
      </c>
      <c r="CK34" s="1">
        <f t="shared" si="13"/>
        <v>-138.63246382830508</v>
      </c>
      <c r="CL34" s="1">
        <f t="shared" si="13"/>
        <v>-138.6226862930989</v>
      </c>
      <c r="CM34" s="1">
        <f t="shared" si="13"/>
        <v>-138.61362290668885</v>
      </c>
      <c r="CN34" s="1">
        <f t="shared" si="13"/>
        <v>-138.6072504707444</v>
      </c>
      <c r="CO34" s="1">
        <f t="shared" si="13"/>
        <v>-138.60495963200094</v>
      </c>
    </row>
    <row r="35" spans="2:93" ht="12.75">
      <c r="B35">
        <f t="shared" si="18"/>
        <v>-0.35</v>
      </c>
      <c r="C35">
        <f t="shared" si="19"/>
        <v>0.35</v>
      </c>
      <c r="D35">
        <f t="shared" si="4"/>
        <v>0.04779558404558405</v>
      </c>
      <c r="E35">
        <f t="shared" si="5"/>
        <v>8.786097917779556E-05</v>
      </c>
      <c r="F35">
        <f t="shared" si="14"/>
        <v>0.00876537814037814</v>
      </c>
      <c r="G35">
        <f t="shared" si="15"/>
        <v>2.9620145572837162E-08</v>
      </c>
      <c r="H35">
        <f t="shared" si="16"/>
        <v>0.0034777251981414348</v>
      </c>
      <c r="I35">
        <f t="shared" si="17"/>
        <v>2.1603298196599256E-11</v>
      </c>
      <c r="J35" s="1">
        <f>0.000001*'deformation radiale'!J32</f>
        <v>1.1558260062665258E-07</v>
      </c>
      <c r="M35" s="1">
        <f t="shared" si="6"/>
        <v>-134.44171996524972</v>
      </c>
      <c r="N35" s="1">
        <f t="shared" si="6"/>
        <v>-134.44740892096635</v>
      </c>
      <c r="O35" s="1">
        <f t="shared" si="6"/>
        <v>-134.46323127678107</v>
      </c>
      <c r="P35" s="1">
        <f t="shared" si="6"/>
        <v>-134.48572840782126</v>
      </c>
      <c r="Q35" s="1">
        <f t="shared" si="6"/>
        <v>-134.5099893904697</v>
      </c>
      <c r="R35" s="1">
        <f t="shared" si="6"/>
        <v>-134.53072716087613</v>
      </c>
      <c r="S35" s="1">
        <f t="shared" si="6"/>
        <v>-134.5434297778671</v>
      </c>
      <c r="T35" s="1">
        <f t="shared" si="6"/>
        <v>-134.5453368588678</v>
      </c>
      <c r="U35" s="1">
        <f t="shared" si="6"/>
        <v>-134.53603419890518</v>
      </c>
      <c r="V35" s="1">
        <f t="shared" si="6"/>
        <v>-134.517542813865</v>
      </c>
      <c r="W35" s="1">
        <f t="shared" si="7"/>
        <v>-134.49388402664226</v>
      </c>
      <c r="X35" s="1">
        <f t="shared" si="7"/>
        <v>-134.4702107509223</v>
      </c>
      <c r="Y35" s="1">
        <f t="shared" si="7"/>
        <v>-134.45168784513473</v>
      </c>
      <c r="Z35" s="1">
        <f t="shared" si="7"/>
        <v>-134.44236261880857</v>
      </c>
      <c r="AA35" s="1">
        <f t="shared" si="7"/>
        <v>-134.44427469220523</v>
      </c>
      <c r="AB35" s="1">
        <f t="shared" si="7"/>
        <v>-134.45700574447312</v>
      </c>
      <c r="AC35" s="1">
        <f t="shared" si="7"/>
        <v>-134.47777195015652</v>
      </c>
      <c r="AD35" s="1">
        <f t="shared" si="7"/>
        <v>-134.50203792520088</v>
      </c>
      <c r="AE35" s="1">
        <f t="shared" si="7"/>
        <v>-134.5245124898775</v>
      </c>
      <c r="AF35" s="1">
        <f t="shared" si="7"/>
        <v>-134.5403033249449</v>
      </c>
      <c r="AG35" s="1">
        <f t="shared" si="8"/>
        <v>-134.54597779216425</v>
      </c>
      <c r="AH35" s="1">
        <f t="shared" si="8"/>
        <v>-134.5403033249449</v>
      </c>
      <c r="AI35" s="1">
        <f t="shared" si="8"/>
        <v>-134.5245124898775</v>
      </c>
      <c r="AJ35" s="1">
        <f t="shared" si="8"/>
        <v>-134.50203792520088</v>
      </c>
      <c r="AK35" s="1">
        <f t="shared" si="8"/>
        <v>-134.47777195015652</v>
      </c>
      <c r="AL35" s="1">
        <f t="shared" si="8"/>
        <v>-134.45700574447312</v>
      </c>
      <c r="AM35" s="1">
        <f t="shared" si="8"/>
        <v>-134.44427469220523</v>
      </c>
      <c r="AN35" s="1">
        <f t="shared" si="8"/>
        <v>-134.44236261880857</v>
      </c>
      <c r="AO35" s="1">
        <f t="shared" si="8"/>
        <v>-134.45168784513473</v>
      </c>
      <c r="AP35" s="1">
        <f t="shared" si="8"/>
        <v>-134.4702107509223</v>
      </c>
      <c r="AQ35" s="1">
        <f t="shared" si="9"/>
        <v>-134.49388402664226</v>
      </c>
      <c r="AR35" s="1">
        <f t="shared" si="9"/>
        <v>-134.517542813865</v>
      </c>
      <c r="AS35" s="1">
        <f t="shared" si="9"/>
        <v>-134.53603419890518</v>
      </c>
      <c r="AT35" s="1">
        <f t="shared" si="9"/>
        <v>-134.5453368588678</v>
      </c>
      <c r="AU35" s="1">
        <f t="shared" si="9"/>
        <v>-134.5434297778671</v>
      </c>
      <c r="AV35" s="1">
        <f t="shared" si="9"/>
        <v>-134.53072716087613</v>
      </c>
      <c r="AW35" s="1">
        <f t="shared" si="9"/>
        <v>-134.5099893904697</v>
      </c>
      <c r="AX35" s="1">
        <f t="shared" si="9"/>
        <v>-134.48572840782126</v>
      </c>
      <c r="AY35" s="1">
        <f t="shared" si="9"/>
        <v>-134.46323127678107</v>
      </c>
      <c r="AZ35" s="1">
        <f t="shared" si="9"/>
        <v>-134.44740892096635</v>
      </c>
      <c r="BA35" s="1">
        <f t="shared" si="10"/>
        <v>-134.44171996524972</v>
      </c>
      <c r="BB35" s="1">
        <f t="shared" si="10"/>
        <v>-134.44740892096635</v>
      </c>
      <c r="BC35" s="1">
        <f t="shared" si="10"/>
        <v>-134.46323127678107</v>
      </c>
      <c r="BD35" s="1">
        <f t="shared" si="10"/>
        <v>-134.48572840782126</v>
      </c>
      <c r="BE35" s="1">
        <f t="shared" si="10"/>
        <v>-134.5099893904697</v>
      </c>
      <c r="BF35" s="1">
        <f t="shared" si="10"/>
        <v>-134.53072716087613</v>
      </c>
      <c r="BG35" s="1">
        <f t="shared" si="10"/>
        <v>-134.5434297778671</v>
      </c>
      <c r="BH35" s="1">
        <f t="shared" si="10"/>
        <v>-134.5453368588678</v>
      </c>
      <c r="BI35" s="1">
        <f t="shared" si="10"/>
        <v>-134.53603419890518</v>
      </c>
      <c r="BJ35" s="1">
        <f t="shared" si="10"/>
        <v>-134.517542813865</v>
      </c>
      <c r="BK35" s="1">
        <f t="shared" si="11"/>
        <v>-134.49388402664226</v>
      </c>
      <c r="BL35" s="1">
        <f t="shared" si="11"/>
        <v>-134.4702107509223</v>
      </c>
      <c r="BM35" s="1">
        <f t="shared" si="11"/>
        <v>-134.45168784513473</v>
      </c>
      <c r="BN35" s="1">
        <f t="shared" si="11"/>
        <v>-134.44236261880857</v>
      </c>
      <c r="BO35" s="1">
        <f t="shared" si="11"/>
        <v>-134.44427469220523</v>
      </c>
      <c r="BP35" s="1">
        <f t="shared" si="11"/>
        <v>-134.4570057444731</v>
      </c>
      <c r="BQ35" s="1">
        <f t="shared" si="11"/>
        <v>-134.47777195015652</v>
      </c>
      <c r="BR35" s="1">
        <f t="shared" si="11"/>
        <v>-134.50203792520088</v>
      </c>
      <c r="BS35" s="1">
        <f t="shared" si="11"/>
        <v>-134.5245124898775</v>
      </c>
      <c r="BT35" s="1">
        <f t="shared" si="11"/>
        <v>-134.5403033249449</v>
      </c>
      <c r="BU35" s="1">
        <f t="shared" si="12"/>
        <v>-134.54597779216425</v>
      </c>
      <c r="BV35" s="1">
        <f t="shared" si="12"/>
        <v>-134.5403033249449</v>
      </c>
      <c r="BW35" s="1">
        <f t="shared" si="12"/>
        <v>-134.5245124898775</v>
      </c>
      <c r="BX35" s="1">
        <f t="shared" si="12"/>
        <v>-134.5020379252009</v>
      </c>
      <c r="BY35" s="1">
        <f t="shared" si="12"/>
        <v>-134.47777195015652</v>
      </c>
      <c r="BZ35" s="1">
        <f t="shared" si="12"/>
        <v>-134.45700574447312</v>
      </c>
      <c r="CA35" s="1">
        <f t="shared" si="12"/>
        <v>-134.44427469220525</v>
      </c>
      <c r="CB35" s="1">
        <f t="shared" si="12"/>
        <v>-134.44236261880857</v>
      </c>
      <c r="CC35" s="1">
        <f t="shared" si="12"/>
        <v>-134.45168784513473</v>
      </c>
      <c r="CD35" s="1">
        <f t="shared" si="12"/>
        <v>-134.4702107509223</v>
      </c>
      <c r="CE35" s="1">
        <f t="shared" si="13"/>
        <v>-134.49388402664226</v>
      </c>
      <c r="CF35" s="1">
        <f t="shared" si="13"/>
        <v>-134.517542813865</v>
      </c>
      <c r="CG35" s="1">
        <f t="shared" si="13"/>
        <v>-134.53603419890518</v>
      </c>
      <c r="CH35" s="1">
        <f t="shared" si="13"/>
        <v>-134.5453368588678</v>
      </c>
      <c r="CI35" s="1">
        <f t="shared" si="13"/>
        <v>-134.5434297778671</v>
      </c>
      <c r="CJ35" s="1">
        <f t="shared" si="13"/>
        <v>-134.53072716087615</v>
      </c>
      <c r="CK35" s="1">
        <f t="shared" si="13"/>
        <v>-134.5099893904697</v>
      </c>
      <c r="CL35" s="1">
        <f t="shared" si="13"/>
        <v>-134.48572840782126</v>
      </c>
      <c r="CM35" s="1">
        <f t="shared" si="13"/>
        <v>-134.46323127678107</v>
      </c>
      <c r="CN35" s="1">
        <f t="shared" si="13"/>
        <v>-134.44740892096635</v>
      </c>
      <c r="CO35" s="1">
        <f t="shared" si="13"/>
        <v>-134.44171996524972</v>
      </c>
    </row>
    <row r="36" spans="2:93" ht="12.75">
      <c r="B36">
        <f t="shared" si="18"/>
        <v>-0.39999999999999997</v>
      </c>
      <c r="C36">
        <f t="shared" si="19"/>
        <v>0.39999999999999997</v>
      </c>
      <c r="D36">
        <f t="shared" si="4"/>
        <v>0.046902726902726906</v>
      </c>
      <c r="E36">
        <f t="shared" si="5"/>
        <v>0.00019211356939356932</v>
      </c>
      <c r="F36">
        <f t="shared" si="14"/>
        <v>0.008524993524993526</v>
      </c>
      <c r="G36">
        <f t="shared" si="15"/>
        <v>1.4302565776741765E-07</v>
      </c>
      <c r="H36">
        <f t="shared" si="16"/>
        <v>0.0033680760753344173</v>
      </c>
      <c r="I36">
        <f t="shared" si="17"/>
        <v>2.3145242550402135E-10</v>
      </c>
      <c r="J36" s="1">
        <f>0.000001*'deformation radiale'!J33</f>
        <v>1.1097894384739521E-07</v>
      </c>
      <c r="M36" s="1">
        <f t="shared" si="6"/>
        <v>-129.77614153488736</v>
      </c>
      <c r="N36" s="1">
        <f t="shared" si="6"/>
        <v>-129.78859993519035</v>
      </c>
      <c r="O36" s="1">
        <f t="shared" si="6"/>
        <v>-129.82323815401998</v>
      </c>
      <c r="P36" s="1">
        <f t="shared" si="6"/>
        <v>-129.87245936045042</v>
      </c>
      <c r="Q36" s="1">
        <f t="shared" si="6"/>
        <v>-129.92550093313028</v>
      </c>
      <c r="R36" s="1">
        <f t="shared" si="6"/>
        <v>-129.9708078109526</v>
      </c>
      <c r="S36" s="1">
        <f t="shared" si="6"/>
        <v>-129.99854531932644</v>
      </c>
      <c r="T36" s="1">
        <f t="shared" si="6"/>
        <v>-130.0027086769488</v>
      </c>
      <c r="U36" s="1">
        <f t="shared" si="6"/>
        <v>-129.982397635814</v>
      </c>
      <c r="V36" s="1">
        <f t="shared" si="6"/>
        <v>-129.9420066972568</v>
      </c>
      <c r="W36" s="1">
        <f t="shared" si="7"/>
        <v>-129.89029440765307</v>
      </c>
      <c r="X36" s="1">
        <f t="shared" si="7"/>
        <v>-129.83851215799976</v>
      </c>
      <c r="Y36" s="1">
        <f t="shared" si="7"/>
        <v>-129.79796901642217</v>
      </c>
      <c r="Z36" s="1">
        <f t="shared" si="7"/>
        <v>-129.77754900995552</v>
      </c>
      <c r="AA36" s="1">
        <f t="shared" si="7"/>
        <v>-129.78173647416807</v>
      </c>
      <c r="AB36" s="1">
        <f t="shared" si="7"/>
        <v>-129.8096112868702</v>
      </c>
      <c r="AC36" s="1">
        <f t="shared" si="7"/>
        <v>-129.8550554690208</v>
      </c>
      <c r="AD36" s="1">
        <f t="shared" si="7"/>
        <v>-129.90812114829083</v>
      </c>
      <c r="AE36" s="1">
        <f t="shared" si="7"/>
        <v>-129.95723338938944</v>
      </c>
      <c r="AF36" s="1">
        <f t="shared" si="7"/>
        <v>-129.99171940519867</v>
      </c>
      <c r="AG36" s="1">
        <f t="shared" si="8"/>
        <v>-130.0041078454521</v>
      </c>
      <c r="AH36" s="1">
        <f t="shared" si="8"/>
        <v>-129.99171940519867</v>
      </c>
      <c r="AI36" s="1">
        <f t="shared" si="8"/>
        <v>-129.95723338938944</v>
      </c>
      <c r="AJ36" s="1">
        <f t="shared" si="8"/>
        <v>-129.90812114829083</v>
      </c>
      <c r="AK36" s="1">
        <f t="shared" si="8"/>
        <v>-129.8550554690208</v>
      </c>
      <c r="AL36" s="1">
        <f t="shared" si="8"/>
        <v>-129.8096112868702</v>
      </c>
      <c r="AM36" s="1">
        <f t="shared" si="8"/>
        <v>-129.78173647416807</v>
      </c>
      <c r="AN36" s="1">
        <f t="shared" si="8"/>
        <v>-129.77754900995552</v>
      </c>
      <c r="AO36" s="1">
        <f t="shared" si="8"/>
        <v>-129.7979690164222</v>
      </c>
      <c r="AP36" s="1">
        <f t="shared" si="8"/>
        <v>-129.83851215799976</v>
      </c>
      <c r="AQ36" s="1">
        <f t="shared" si="9"/>
        <v>-129.89029440765307</v>
      </c>
      <c r="AR36" s="1">
        <f t="shared" si="9"/>
        <v>-129.9420066972568</v>
      </c>
      <c r="AS36" s="1">
        <f t="shared" si="9"/>
        <v>-129.982397635814</v>
      </c>
      <c r="AT36" s="1">
        <f t="shared" si="9"/>
        <v>-130.0027086769488</v>
      </c>
      <c r="AU36" s="1">
        <f t="shared" si="9"/>
        <v>-129.99854531932644</v>
      </c>
      <c r="AV36" s="1">
        <f t="shared" si="9"/>
        <v>-129.9708078109526</v>
      </c>
      <c r="AW36" s="1">
        <f t="shared" si="9"/>
        <v>-129.92550093313028</v>
      </c>
      <c r="AX36" s="1">
        <f t="shared" si="9"/>
        <v>-129.87245936045042</v>
      </c>
      <c r="AY36" s="1">
        <f t="shared" si="9"/>
        <v>-129.82323815401998</v>
      </c>
      <c r="AZ36" s="1">
        <f t="shared" si="9"/>
        <v>-129.78859993519035</v>
      </c>
      <c r="BA36" s="1">
        <f t="shared" si="10"/>
        <v>-129.77614153488736</v>
      </c>
      <c r="BB36" s="1">
        <f t="shared" si="10"/>
        <v>-129.78859993519035</v>
      </c>
      <c r="BC36" s="1">
        <f t="shared" si="10"/>
        <v>-129.82323815401998</v>
      </c>
      <c r="BD36" s="1">
        <f t="shared" si="10"/>
        <v>-129.87245936045042</v>
      </c>
      <c r="BE36" s="1">
        <f t="shared" si="10"/>
        <v>-129.92550093313028</v>
      </c>
      <c r="BF36" s="1">
        <f t="shared" si="10"/>
        <v>-129.9708078109526</v>
      </c>
      <c r="BG36" s="1">
        <f t="shared" si="10"/>
        <v>-129.99854531932644</v>
      </c>
      <c r="BH36" s="1">
        <f t="shared" si="10"/>
        <v>-130.0027086769488</v>
      </c>
      <c r="BI36" s="1">
        <f t="shared" si="10"/>
        <v>-129.982397635814</v>
      </c>
      <c r="BJ36" s="1">
        <f t="shared" si="10"/>
        <v>-129.9420066972568</v>
      </c>
      <c r="BK36" s="1">
        <f t="shared" si="11"/>
        <v>-129.89029440765307</v>
      </c>
      <c r="BL36" s="1">
        <f t="shared" si="11"/>
        <v>-129.83851215799976</v>
      </c>
      <c r="BM36" s="1">
        <f t="shared" si="11"/>
        <v>-129.7979690164222</v>
      </c>
      <c r="BN36" s="1">
        <f t="shared" si="11"/>
        <v>-129.77754900995552</v>
      </c>
      <c r="BO36" s="1">
        <f t="shared" si="11"/>
        <v>-129.78173647416807</v>
      </c>
      <c r="BP36" s="1">
        <f t="shared" si="11"/>
        <v>-129.8096112868702</v>
      </c>
      <c r="BQ36" s="1">
        <f t="shared" si="11"/>
        <v>-129.8550554690208</v>
      </c>
      <c r="BR36" s="1">
        <f t="shared" si="11"/>
        <v>-129.90812114829083</v>
      </c>
      <c r="BS36" s="1">
        <f t="shared" si="11"/>
        <v>-129.95723338938944</v>
      </c>
      <c r="BT36" s="1">
        <f t="shared" si="11"/>
        <v>-129.99171940519867</v>
      </c>
      <c r="BU36" s="1">
        <f t="shared" si="12"/>
        <v>-130.0041078454521</v>
      </c>
      <c r="BV36" s="1">
        <f t="shared" si="12"/>
        <v>-129.99171940519867</v>
      </c>
      <c r="BW36" s="1">
        <f t="shared" si="12"/>
        <v>-129.95723338938944</v>
      </c>
      <c r="BX36" s="1">
        <f t="shared" si="12"/>
        <v>-129.90812114829083</v>
      </c>
      <c r="BY36" s="1">
        <f t="shared" si="12"/>
        <v>-129.8550554690208</v>
      </c>
      <c r="BZ36" s="1">
        <f t="shared" si="12"/>
        <v>-129.8096112868702</v>
      </c>
      <c r="CA36" s="1">
        <f t="shared" si="12"/>
        <v>-129.78173647416807</v>
      </c>
      <c r="CB36" s="1">
        <f t="shared" si="12"/>
        <v>-129.77754900995552</v>
      </c>
      <c r="CC36" s="1">
        <f t="shared" si="12"/>
        <v>-129.79796901642217</v>
      </c>
      <c r="CD36" s="1">
        <f t="shared" si="12"/>
        <v>-129.83851215799976</v>
      </c>
      <c r="CE36" s="1">
        <f t="shared" si="13"/>
        <v>-129.89029440765307</v>
      </c>
      <c r="CF36" s="1">
        <f t="shared" si="13"/>
        <v>-129.9420066972568</v>
      </c>
      <c r="CG36" s="1">
        <f t="shared" si="13"/>
        <v>-129.98239763581398</v>
      </c>
      <c r="CH36" s="1">
        <f t="shared" si="13"/>
        <v>-130.0027086769488</v>
      </c>
      <c r="CI36" s="1">
        <f t="shared" si="13"/>
        <v>-129.99854531932644</v>
      </c>
      <c r="CJ36" s="1">
        <f t="shared" si="13"/>
        <v>-129.9708078109526</v>
      </c>
      <c r="CK36" s="1">
        <f t="shared" si="13"/>
        <v>-129.92550093313028</v>
      </c>
      <c r="CL36" s="1">
        <f t="shared" si="13"/>
        <v>-129.87245936045045</v>
      </c>
      <c r="CM36" s="1">
        <f t="shared" si="13"/>
        <v>-129.82323815401998</v>
      </c>
      <c r="CN36" s="1">
        <f t="shared" si="13"/>
        <v>-129.78859993519035</v>
      </c>
      <c r="CO36" s="1">
        <f t="shared" si="13"/>
        <v>-129.77614153488736</v>
      </c>
    </row>
    <row r="37" spans="2:93" ht="12.75">
      <c r="B37">
        <f t="shared" si="18"/>
        <v>-0.44999999999999996</v>
      </c>
      <c r="C37">
        <f t="shared" si="19"/>
        <v>0.44999999999999996</v>
      </c>
      <c r="D37">
        <f t="shared" si="4"/>
        <v>0.04589082214082214</v>
      </c>
      <c r="E37">
        <f t="shared" si="5"/>
        <v>0.0003810666313959475</v>
      </c>
      <c r="F37">
        <f t="shared" si="14"/>
        <v>0.008252557627557628</v>
      </c>
      <c r="G37">
        <f t="shared" si="15"/>
        <v>5.690346742025973E-07</v>
      </c>
      <c r="H37">
        <f t="shared" si="16"/>
        <v>0.003243807069486464</v>
      </c>
      <c r="I37">
        <f t="shared" si="17"/>
        <v>1.8572923243270768E-09</v>
      </c>
      <c r="J37" s="1">
        <f>0.000001*'deformation radiale'!J34</f>
        <v>1.0574452231900607E-07</v>
      </c>
      <c r="M37" s="1">
        <f t="shared" si="6"/>
        <v>-124.42935829542456</v>
      </c>
      <c r="N37" s="1">
        <f t="shared" si="6"/>
        <v>-124.45413992501446</v>
      </c>
      <c r="O37" s="1">
        <f t="shared" si="6"/>
        <v>-124.52299834342811</v>
      </c>
      <c r="P37" s="1">
        <f t="shared" si="6"/>
        <v>-124.62073969912944</v>
      </c>
      <c r="Q37" s="1">
        <f t="shared" si="6"/>
        <v>-124.72592619824965</v>
      </c>
      <c r="R37" s="1">
        <f t="shared" si="6"/>
        <v>-124.81565763822286</v>
      </c>
      <c r="S37" s="1">
        <f t="shared" si="6"/>
        <v>-124.87053937729974</v>
      </c>
      <c r="T37" s="1">
        <f t="shared" si="6"/>
        <v>-124.87877355379436</v>
      </c>
      <c r="U37" s="1">
        <f t="shared" si="6"/>
        <v>-124.83859430640284</v>
      </c>
      <c r="V37" s="1">
        <f t="shared" si="6"/>
        <v>-124.75862873309053</v>
      </c>
      <c r="W37" s="1">
        <f t="shared" si="7"/>
        <v>-124.65612467060623</v>
      </c>
      <c r="X37" s="1">
        <f t="shared" si="7"/>
        <v>-124.55334226859426</v>
      </c>
      <c r="Y37" s="1">
        <f t="shared" si="7"/>
        <v>-124.47277114801538</v>
      </c>
      <c r="Z37" s="1">
        <f t="shared" si="7"/>
        <v>-124.43215837664575</v>
      </c>
      <c r="AA37" s="1">
        <f t="shared" si="7"/>
        <v>-124.44048846240531</v>
      </c>
      <c r="AB37" s="1">
        <f t="shared" si="7"/>
        <v>-124.49591647356323</v>
      </c>
      <c r="AC37" s="1">
        <f t="shared" si="7"/>
        <v>-124.58619418561747</v>
      </c>
      <c r="AD37" s="1">
        <f t="shared" si="7"/>
        <v>-124.69147659400258</v>
      </c>
      <c r="AE37" s="1">
        <f t="shared" si="7"/>
        <v>-124.78878442572584</v>
      </c>
      <c r="AF37" s="1">
        <f t="shared" si="7"/>
        <v>-124.85703729687286</v>
      </c>
      <c r="AG37" s="1">
        <f t="shared" si="8"/>
        <v>-124.88154058693515</v>
      </c>
      <c r="AH37" s="1">
        <f t="shared" si="8"/>
        <v>-124.85703729687286</v>
      </c>
      <c r="AI37" s="1">
        <f t="shared" si="8"/>
        <v>-124.78878442572584</v>
      </c>
      <c r="AJ37" s="1">
        <f t="shared" si="8"/>
        <v>-124.69147659400258</v>
      </c>
      <c r="AK37" s="1">
        <f t="shared" si="8"/>
        <v>-124.58619418561747</v>
      </c>
      <c r="AL37" s="1">
        <f t="shared" si="8"/>
        <v>-124.49591647356323</v>
      </c>
      <c r="AM37" s="1">
        <f t="shared" si="8"/>
        <v>-124.44048846240531</v>
      </c>
      <c r="AN37" s="1">
        <f t="shared" si="8"/>
        <v>-124.43215837664575</v>
      </c>
      <c r="AO37" s="1">
        <f t="shared" si="8"/>
        <v>-124.47277114801538</v>
      </c>
      <c r="AP37" s="1">
        <f t="shared" si="8"/>
        <v>-124.55334226859426</v>
      </c>
      <c r="AQ37" s="1">
        <f t="shared" si="9"/>
        <v>-124.65612467060623</v>
      </c>
      <c r="AR37" s="1">
        <f t="shared" si="9"/>
        <v>-124.75862873309053</v>
      </c>
      <c r="AS37" s="1">
        <f t="shared" si="9"/>
        <v>-124.83859430640284</v>
      </c>
      <c r="AT37" s="1">
        <f t="shared" si="9"/>
        <v>-124.87877355379436</v>
      </c>
      <c r="AU37" s="1">
        <f t="shared" si="9"/>
        <v>-124.87053937729974</v>
      </c>
      <c r="AV37" s="1">
        <f t="shared" si="9"/>
        <v>-124.81565763822286</v>
      </c>
      <c r="AW37" s="1">
        <f t="shared" si="9"/>
        <v>-124.72592619824965</v>
      </c>
      <c r="AX37" s="1">
        <f t="shared" si="9"/>
        <v>-124.62073969912944</v>
      </c>
      <c r="AY37" s="1">
        <f t="shared" si="9"/>
        <v>-124.52299834342811</v>
      </c>
      <c r="AZ37" s="1">
        <f t="shared" si="9"/>
        <v>-124.45413992501446</v>
      </c>
      <c r="BA37" s="1">
        <f t="shared" si="10"/>
        <v>-124.42935829542456</v>
      </c>
      <c r="BB37" s="1">
        <f t="shared" si="10"/>
        <v>-124.45413992501446</v>
      </c>
      <c r="BC37" s="1">
        <f t="shared" si="10"/>
        <v>-124.52299834342811</v>
      </c>
      <c r="BD37" s="1">
        <f t="shared" si="10"/>
        <v>-124.62073969912944</v>
      </c>
      <c r="BE37" s="1">
        <f t="shared" si="10"/>
        <v>-124.72592619824965</v>
      </c>
      <c r="BF37" s="1">
        <f t="shared" si="10"/>
        <v>-124.81565763822286</v>
      </c>
      <c r="BG37" s="1">
        <f t="shared" si="10"/>
        <v>-124.87053937729974</v>
      </c>
      <c r="BH37" s="1">
        <f t="shared" si="10"/>
        <v>-124.87877355379436</v>
      </c>
      <c r="BI37" s="1">
        <f t="shared" si="10"/>
        <v>-124.83859430640284</v>
      </c>
      <c r="BJ37" s="1">
        <f t="shared" si="10"/>
        <v>-124.75862873309053</v>
      </c>
      <c r="BK37" s="1">
        <f t="shared" si="11"/>
        <v>-124.65612467060623</v>
      </c>
      <c r="BL37" s="1">
        <f t="shared" si="11"/>
        <v>-124.55334226859426</v>
      </c>
      <c r="BM37" s="1">
        <f t="shared" si="11"/>
        <v>-124.47277114801538</v>
      </c>
      <c r="BN37" s="1">
        <f t="shared" si="11"/>
        <v>-124.43215837664575</v>
      </c>
      <c r="BO37" s="1">
        <f t="shared" si="11"/>
        <v>-124.44048846240531</v>
      </c>
      <c r="BP37" s="1">
        <f t="shared" si="11"/>
        <v>-124.49591647356323</v>
      </c>
      <c r="BQ37" s="1">
        <f t="shared" si="11"/>
        <v>-124.58619418561747</v>
      </c>
      <c r="BR37" s="1">
        <f t="shared" si="11"/>
        <v>-124.69147659400258</v>
      </c>
      <c r="BS37" s="1">
        <f t="shared" si="11"/>
        <v>-124.78878442572584</v>
      </c>
      <c r="BT37" s="1">
        <f t="shared" si="11"/>
        <v>-124.85703729687286</v>
      </c>
      <c r="BU37" s="1">
        <f t="shared" si="12"/>
        <v>-124.88154058693515</v>
      </c>
      <c r="BV37" s="1">
        <f t="shared" si="12"/>
        <v>-124.85703729687286</v>
      </c>
      <c r="BW37" s="1">
        <f t="shared" si="12"/>
        <v>-124.78878442572584</v>
      </c>
      <c r="BX37" s="1">
        <f t="shared" si="12"/>
        <v>-124.6914765940026</v>
      </c>
      <c r="BY37" s="1">
        <f t="shared" si="12"/>
        <v>-124.58619418561747</v>
      </c>
      <c r="BZ37" s="1">
        <f t="shared" si="12"/>
        <v>-124.49591647356324</v>
      </c>
      <c r="CA37" s="1">
        <f t="shared" si="12"/>
        <v>-124.44048846240531</v>
      </c>
      <c r="CB37" s="1">
        <f t="shared" si="12"/>
        <v>-124.43215837664575</v>
      </c>
      <c r="CC37" s="1">
        <f t="shared" si="12"/>
        <v>-124.47277114801538</v>
      </c>
      <c r="CD37" s="1">
        <f t="shared" si="12"/>
        <v>-124.55334226859426</v>
      </c>
      <c r="CE37" s="1">
        <f t="shared" si="13"/>
        <v>-124.65612467060623</v>
      </c>
      <c r="CF37" s="1">
        <f t="shared" si="13"/>
        <v>-124.75862873309053</v>
      </c>
      <c r="CG37" s="1">
        <f t="shared" si="13"/>
        <v>-124.83859430640284</v>
      </c>
      <c r="CH37" s="1">
        <f t="shared" si="13"/>
        <v>-124.87877355379436</v>
      </c>
      <c r="CI37" s="1">
        <f t="shared" si="13"/>
        <v>-124.87053937729974</v>
      </c>
      <c r="CJ37" s="1">
        <f t="shared" si="13"/>
        <v>-124.81565763822286</v>
      </c>
      <c r="CK37" s="1">
        <f t="shared" si="13"/>
        <v>-124.72592619824967</v>
      </c>
      <c r="CL37" s="1">
        <f t="shared" si="13"/>
        <v>-124.62073969912947</v>
      </c>
      <c r="CM37" s="1">
        <f t="shared" si="13"/>
        <v>-124.52299834342811</v>
      </c>
      <c r="CN37" s="1">
        <f t="shared" si="13"/>
        <v>-124.45413992501449</v>
      </c>
      <c r="CO37" s="1">
        <f t="shared" si="13"/>
        <v>-124.42935829542456</v>
      </c>
    </row>
    <row r="38" spans="2:93" ht="12.75">
      <c r="B38">
        <f t="shared" si="18"/>
        <v>-0.49999999999999994</v>
      </c>
      <c r="C38">
        <f t="shared" si="19"/>
        <v>0.49999999999999994</v>
      </c>
      <c r="D38">
        <f t="shared" si="4"/>
        <v>0.044759869759869765</v>
      </c>
      <c r="E38">
        <f t="shared" si="5"/>
        <v>0.0006993729649979646</v>
      </c>
      <c r="F38">
        <f t="shared" si="14"/>
        <v>0.007948070448070449</v>
      </c>
      <c r="G38">
        <f t="shared" si="15"/>
        <v>1.940446886735947E-06</v>
      </c>
      <c r="H38">
        <f t="shared" si="16"/>
        <v>0.003104918180597575</v>
      </c>
      <c r="I38">
        <f t="shared" si="17"/>
        <v>1.1844322893514896E-08</v>
      </c>
      <c r="J38" s="1">
        <f>0.000001*'deformation radiale'!J35</f>
        <v>9.975203340164265E-08</v>
      </c>
      <c r="M38" s="1">
        <f aca="true" t="shared" si="20" ref="M38:V48">-1000000000*($C$17*($C$18-$E38*COS($E$22*M$27)-$G38*COS($G$22*M$27)-$I38*COS($I$32*M$27))+$J38)</f>
        <v>-118.24719502757263</v>
      </c>
      <c r="N38" s="1">
        <f t="shared" si="20"/>
        <v>-118.2928960014458</v>
      </c>
      <c r="O38" s="1">
        <f t="shared" si="20"/>
        <v>-118.4197489025846</v>
      </c>
      <c r="P38" s="1">
        <f t="shared" si="20"/>
        <v>-118.59947531478433</v>
      </c>
      <c r="Q38" s="1">
        <f t="shared" si="20"/>
        <v>-118.79244895930543</v>
      </c>
      <c r="R38" s="1">
        <f t="shared" si="20"/>
        <v>-118.9567032703072</v>
      </c>
      <c r="S38" s="1">
        <f t="shared" si="20"/>
        <v>-119.05699779937828</v>
      </c>
      <c r="T38" s="1">
        <f t="shared" si="20"/>
        <v>-119.07203449599689</v>
      </c>
      <c r="U38" s="1">
        <f t="shared" si="20"/>
        <v>-118.99863472717672</v>
      </c>
      <c r="V38" s="1">
        <f t="shared" si="20"/>
        <v>-118.85235041875481</v>
      </c>
      <c r="W38" s="1">
        <f aca="true" t="shared" si="21" ref="W38:AF48">-1000000000*($C$17*($C$18-$E38*COS($E$22*W$27)-$G38*COS($G$22*W$27)-$I38*COS($I$32*W$27))+$J38)</f>
        <v>-118.66444350221344</v>
      </c>
      <c r="X38" s="1">
        <f t="shared" si="21"/>
        <v>-118.47558742897856</v>
      </c>
      <c r="Y38" s="1">
        <f t="shared" si="21"/>
        <v>-118.32723816325</v>
      </c>
      <c r="Z38" s="1">
        <f t="shared" si="21"/>
        <v>-118.25236004822042</v>
      </c>
      <c r="AA38" s="1">
        <f t="shared" si="21"/>
        <v>-118.26772380194633</v>
      </c>
      <c r="AB38" s="1">
        <f t="shared" si="21"/>
        <v>-118.36988115591548</v>
      </c>
      <c r="AC38" s="1">
        <f t="shared" si="21"/>
        <v>-118.53599829181532</v>
      </c>
      <c r="AD38" s="1">
        <f t="shared" si="21"/>
        <v>-118.72929899344373</v>
      </c>
      <c r="AE38" s="1">
        <f t="shared" si="21"/>
        <v>-118.90754705943405</v>
      </c>
      <c r="AF38" s="1">
        <f t="shared" si="21"/>
        <v>-119.03233500326621</v>
      </c>
      <c r="AG38" s="1">
        <f aca="true" t="shared" si="22" ref="AG38:AP48">-1000000000*($C$17*($C$18-$E38*COS($E$22*AG$27)-$G38*COS($G$22*AG$27)-$I38*COS($I$32*AG$27))+$J38)</f>
        <v>-119.07708682044584</v>
      </c>
      <c r="AH38" s="1">
        <f t="shared" si="22"/>
        <v>-119.03233500326621</v>
      </c>
      <c r="AI38" s="1">
        <f t="shared" si="22"/>
        <v>-118.90754705943405</v>
      </c>
      <c r="AJ38" s="1">
        <f t="shared" si="22"/>
        <v>-118.72929899344373</v>
      </c>
      <c r="AK38" s="1">
        <f t="shared" si="22"/>
        <v>-118.53599829181532</v>
      </c>
      <c r="AL38" s="1">
        <f t="shared" si="22"/>
        <v>-118.36988115591548</v>
      </c>
      <c r="AM38" s="1">
        <f t="shared" si="22"/>
        <v>-118.26772380194633</v>
      </c>
      <c r="AN38" s="1">
        <f t="shared" si="22"/>
        <v>-118.25236004822042</v>
      </c>
      <c r="AO38" s="1">
        <f t="shared" si="22"/>
        <v>-118.32723816325</v>
      </c>
      <c r="AP38" s="1">
        <f t="shared" si="22"/>
        <v>-118.47558742897856</v>
      </c>
      <c r="AQ38" s="1">
        <f aca="true" t="shared" si="23" ref="AQ38:AZ48">-1000000000*($C$17*($C$18-$E38*COS($E$22*AQ$27)-$G38*COS($G$22*AQ$27)-$I38*COS($I$32*AQ$27))+$J38)</f>
        <v>-118.66444350221344</v>
      </c>
      <c r="AR38" s="1">
        <f t="shared" si="23"/>
        <v>-118.85235041875481</v>
      </c>
      <c r="AS38" s="1">
        <f t="shared" si="23"/>
        <v>-118.99863472717672</v>
      </c>
      <c r="AT38" s="1">
        <f t="shared" si="23"/>
        <v>-119.07203449599689</v>
      </c>
      <c r="AU38" s="1">
        <f t="shared" si="23"/>
        <v>-119.05699779937827</v>
      </c>
      <c r="AV38" s="1">
        <f t="shared" si="23"/>
        <v>-118.9567032703072</v>
      </c>
      <c r="AW38" s="1">
        <f t="shared" si="23"/>
        <v>-118.79244895930543</v>
      </c>
      <c r="AX38" s="1">
        <f t="shared" si="23"/>
        <v>-118.59947531478433</v>
      </c>
      <c r="AY38" s="1">
        <f t="shared" si="23"/>
        <v>-118.4197489025846</v>
      </c>
      <c r="AZ38" s="1">
        <f t="shared" si="23"/>
        <v>-118.29289600144578</v>
      </c>
      <c r="BA38" s="1">
        <f aca="true" t="shared" si="24" ref="BA38:BJ48">-1000000000*($C$17*($C$18-$E38*COS($E$22*BA$27)-$G38*COS($G$22*BA$27)-$I38*COS($I$32*BA$27))+$J38)</f>
        <v>-118.24719502757263</v>
      </c>
      <c r="BB38" s="1">
        <f t="shared" si="24"/>
        <v>-118.2928960014458</v>
      </c>
      <c r="BC38" s="1">
        <f t="shared" si="24"/>
        <v>-118.41974890258462</v>
      </c>
      <c r="BD38" s="1">
        <f t="shared" si="24"/>
        <v>-118.59947531478433</v>
      </c>
      <c r="BE38" s="1">
        <f t="shared" si="24"/>
        <v>-118.79244895930543</v>
      </c>
      <c r="BF38" s="1">
        <f t="shared" si="24"/>
        <v>-118.9567032703072</v>
      </c>
      <c r="BG38" s="1">
        <f t="shared" si="24"/>
        <v>-119.05699779937828</v>
      </c>
      <c r="BH38" s="1">
        <f t="shared" si="24"/>
        <v>-119.07203449599689</v>
      </c>
      <c r="BI38" s="1">
        <f t="shared" si="24"/>
        <v>-118.99863472717672</v>
      </c>
      <c r="BJ38" s="1">
        <f t="shared" si="24"/>
        <v>-118.85235041875481</v>
      </c>
      <c r="BK38" s="1">
        <f aca="true" t="shared" si="25" ref="BK38:BT48">-1000000000*($C$17*($C$18-$E38*COS($E$22*BK$27)-$G38*COS($G$22*BK$27)-$I38*COS($I$32*BK$27))+$J38)</f>
        <v>-118.66444350221344</v>
      </c>
      <c r="BL38" s="1">
        <f t="shared" si="25"/>
        <v>-118.47558742897856</v>
      </c>
      <c r="BM38" s="1">
        <f t="shared" si="25"/>
        <v>-118.32723816325</v>
      </c>
      <c r="BN38" s="1">
        <f t="shared" si="25"/>
        <v>-118.25236004822042</v>
      </c>
      <c r="BO38" s="1">
        <f t="shared" si="25"/>
        <v>-118.26772380194633</v>
      </c>
      <c r="BP38" s="1">
        <f t="shared" si="25"/>
        <v>-118.36988115591548</v>
      </c>
      <c r="BQ38" s="1">
        <f t="shared" si="25"/>
        <v>-118.53599829181532</v>
      </c>
      <c r="BR38" s="1">
        <f t="shared" si="25"/>
        <v>-118.72929899344373</v>
      </c>
      <c r="BS38" s="1">
        <f t="shared" si="25"/>
        <v>-118.90754705943405</v>
      </c>
      <c r="BT38" s="1">
        <f t="shared" si="25"/>
        <v>-119.03233500326621</v>
      </c>
      <c r="BU38" s="1">
        <f aca="true" t="shared" si="26" ref="BU38:CD48">-1000000000*($C$17*($C$18-$E38*COS($E$22*BU$27)-$G38*COS($G$22*BU$27)-$I38*COS($I$32*BU$27))+$J38)</f>
        <v>-119.07708682044584</v>
      </c>
      <c r="BV38" s="1">
        <f t="shared" si="26"/>
        <v>-119.03233500326621</v>
      </c>
      <c r="BW38" s="1">
        <f t="shared" si="26"/>
        <v>-118.90754705943405</v>
      </c>
      <c r="BX38" s="1">
        <f t="shared" si="26"/>
        <v>-118.72929899344375</v>
      </c>
      <c r="BY38" s="1">
        <f t="shared" si="26"/>
        <v>-118.53599829181533</v>
      </c>
      <c r="BZ38" s="1">
        <f t="shared" si="26"/>
        <v>-118.3698811559155</v>
      </c>
      <c r="CA38" s="1">
        <f t="shared" si="26"/>
        <v>-118.26772380194635</v>
      </c>
      <c r="CB38" s="1">
        <f t="shared" si="26"/>
        <v>-118.25236004822041</v>
      </c>
      <c r="CC38" s="1">
        <f t="shared" si="26"/>
        <v>-118.32723816324999</v>
      </c>
      <c r="CD38" s="1">
        <f t="shared" si="26"/>
        <v>-118.47558742897853</v>
      </c>
      <c r="CE38" s="1">
        <f aca="true" t="shared" si="27" ref="CE38:CO48">-1000000000*($C$17*($C$18-$E38*COS($E$22*CE$27)-$G38*COS($G$22*CE$27)-$I38*COS($I$32*CE$27))+$J38)</f>
        <v>-118.66444350221343</v>
      </c>
      <c r="CF38" s="1">
        <f t="shared" si="27"/>
        <v>-118.8523504187548</v>
      </c>
      <c r="CG38" s="1">
        <f t="shared" si="27"/>
        <v>-118.99863472717672</v>
      </c>
      <c r="CH38" s="1">
        <f t="shared" si="27"/>
        <v>-119.07203449599689</v>
      </c>
      <c r="CI38" s="1">
        <f t="shared" si="27"/>
        <v>-119.05699779937828</v>
      </c>
      <c r="CJ38" s="1">
        <f t="shared" si="27"/>
        <v>-118.95670327030722</v>
      </c>
      <c r="CK38" s="1">
        <f t="shared" si="27"/>
        <v>-118.79244895930546</v>
      </c>
      <c r="CL38" s="1">
        <f t="shared" si="27"/>
        <v>-118.59947531478436</v>
      </c>
      <c r="CM38" s="1">
        <f t="shared" si="27"/>
        <v>-118.41974890258463</v>
      </c>
      <c r="CN38" s="1">
        <f t="shared" si="27"/>
        <v>-118.29289600144581</v>
      </c>
      <c r="CO38" s="1">
        <f t="shared" si="27"/>
        <v>-118.24719502757263</v>
      </c>
    </row>
    <row r="39" spans="2:93" ht="12.75">
      <c r="B39">
        <f t="shared" si="18"/>
        <v>-0.5499999999999999</v>
      </c>
      <c r="C39">
        <f t="shared" si="19"/>
        <v>0.5499999999999999</v>
      </c>
      <c r="D39">
        <f t="shared" si="4"/>
        <v>0.043509869759869764</v>
      </c>
      <c r="E39">
        <f t="shared" si="5"/>
        <v>0.0012043810684635092</v>
      </c>
      <c r="F39">
        <f t="shared" si="14"/>
        <v>0.007611531986531987</v>
      </c>
      <c r="G39">
        <f t="shared" si="15"/>
        <v>5.832091791223515E-06</v>
      </c>
      <c r="H39">
        <f t="shared" si="16"/>
        <v>0.0029514094086677506</v>
      </c>
      <c r="I39">
        <f t="shared" si="17"/>
        <v>6.259762676412835E-08</v>
      </c>
      <c r="J39" s="1">
        <f>0.000001*'deformation radiale'!J36</f>
        <v>9.293105020614156E-08</v>
      </c>
      <c r="M39" s="1">
        <f t="shared" si="20"/>
        <v>-111.12424573854439</v>
      </c>
      <c r="N39" s="1">
        <f t="shared" si="20"/>
        <v>-111.20355588933101</v>
      </c>
      <c r="O39" s="1">
        <f t="shared" si="20"/>
        <v>-111.42333275559518</v>
      </c>
      <c r="P39" s="1">
        <f t="shared" si="20"/>
        <v>-111.7337859621294</v>
      </c>
      <c r="Q39" s="1">
        <f t="shared" si="20"/>
        <v>-112.06589347912832</v>
      </c>
      <c r="R39" s="1">
        <f t="shared" si="20"/>
        <v>-112.3475582628258</v>
      </c>
      <c r="S39" s="1">
        <f t="shared" si="20"/>
        <v>-112.5190787396146</v>
      </c>
      <c r="T39" s="1">
        <f t="shared" si="20"/>
        <v>-112.54476335758915</v>
      </c>
      <c r="U39" s="1">
        <f t="shared" si="20"/>
        <v>-112.41931126664922</v>
      </c>
      <c r="V39" s="1">
        <f t="shared" si="20"/>
        <v>-112.16872210398225</v>
      </c>
      <c r="W39" s="1">
        <f t="shared" si="21"/>
        <v>-111.8457391511746</v>
      </c>
      <c r="X39" s="1">
        <f t="shared" si="21"/>
        <v>-111.51990346944216</v>
      </c>
      <c r="Y39" s="1">
        <f t="shared" si="21"/>
        <v>-111.26310799386879</v>
      </c>
      <c r="Z39" s="1">
        <f t="shared" si="21"/>
        <v>-111.13321267345864</v>
      </c>
      <c r="AA39" s="1">
        <f t="shared" si="21"/>
        <v>-111.15988027482935</v>
      </c>
      <c r="AB39" s="1">
        <f t="shared" si="21"/>
        <v>-111.33699954737536</v>
      </c>
      <c r="AC39" s="1">
        <f t="shared" si="21"/>
        <v>-111.62426312683004</v>
      </c>
      <c r="AD39" s="1">
        <f t="shared" si="21"/>
        <v>-111.95735362722513</v>
      </c>
      <c r="AE39" s="1">
        <f t="shared" si="21"/>
        <v>-112.26336360428915</v>
      </c>
      <c r="AF39" s="1">
        <f t="shared" si="21"/>
        <v>-112.47693415764692</v>
      </c>
      <c r="AG39" s="1">
        <f t="shared" si="22"/>
        <v>-112.55339157950874</v>
      </c>
      <c r="AH39" s="1">
        <f t="shared" si="22"/>
        <v>-112.47693415764692</v>
      </c>
      <c r="AI39" s="1">
        <f t="shared" si="22"/>
        <v>-112.26336360428915</v>
      </c>
      <c r="AJ39" s="1">
        <f t="shared" si="22"/>
        <v>-111.95735362722513</v>
      </c>
      <c r="AK39" s="1">
        <f t="shared" si="22"/>
        <v>-111.62426312683004</v>
      </c>
      <c r="AL39" s="1">
        <f t="shared" si="22"/>
        <v>-111.33699954737536</v>
      </c>
      <c r="AM39" s="1">
        <f t="shared" si="22"/>
        <v>-111.15988027482935</v>
      </c>
      <c r="AN39" s="1">
        <f t="shared" si="22"/>
        <v>-111.13321267345864</v>
      </c>
      <c r="AO39" s="1">
        <f t="shared" si="22"/>
        <v>-111.26310799386879</v>
      </c>
      <c r="AP39" s="1">
        <f t="shared" si="22"/>
        <v>-111.51990346944216</v>
      </c>
      <c r="AQ39" s="1">
        <f t="shared" si="23"/>
        <v>-111.8457391511746</v>
      </c>
      <c r="AR39" s="1">
        <f t="shared" si="23"/>
        <v>-112.16872210398225</v>
      </c>
      <c r="AS39" s="1">
        <f t="shared" si="23"/>
        <v>-112.41931126664922</v>
      </c>
      <c r="AT39" s="1">
        <f t="shared" si="23"/>
        <v>-112.54476335758916</v>
      </c>
      <c r="AU39" s="1">
        <f t="shared" si="23"/>
        <v>-112.5190787396146</v>
      </c>
      <c r="AV39" s="1">
        <f t="shared" si="23"/>
        <v>-112.3475582628258</v>
      </c>
      <c r="AW39" s="1">
        <f t="shared" si="23"/>
        <v>-112.0658934791283</v>
      </c>
      <c r="AX39" s="1">
        <f t="shared" si="23"/>
        <v>-111.7337859621294</v>
      </c>
      <c r="AY39" s="1">
        <f t="shared" si="23"/>
        <v>-111.42333275559518</v>
      </c>
      <c r="AZ39" s="1">
        <f t="shared" si="23"/>
        <v>-111.20355588933101</v>
      </c>
      <c r="BA39" s="1">
        <f t="shared" si="24"/>
        <v>-111.12424573854439</v>
      </c>
      <c r="BB39" s="1">
        <f t="shared" si="24"/>
        <v>-111.20355588933103</v>
      </c>
      <c r="BC39" s="1">
        <f t="shared" si="24"/>
        <v>-111.4233327555952</v>
      </c>
      <c r="BD39" s="1">
        <f t="shared" si="24"/>
        <v>-111.7337859621294</v>
      </c>
      <c r="BE39" s="1">
        <f t="shared" si="24"/>
        <v>-112.06589347912832</v>
      </c>
      <c r="BF39" s="1">
        <f t="shared" si="24"/>
        <v>-112.3475582628258</v>
      </c>
      <c r="BG39" s="1">
        <f t="shared" si="24"/>
        <v>-112.5190787396146</v>
      </c>
      <c r="BH39" s="1">
        <f t="shared" si="24"/>
        <v>-112.54476335758915</v>
      </c>
      <c r="BI39" s="1">
        <f t="shared" si="24"/>
        <v>-112.41931126664922</v>
      </c>
      <c r="BJ39" s="1">
        <f t="shared" si="24"/>
        <v>-112.16872210398225</v>
      </c>
      <c r="BK39" s="1">
        <f t="shared" si="25"/>
        <v>-111.84573915117461</v>
      </c>
      <c r="BL39" s="1">
        <f t="shared" si="25"/>
        <v>-111.51990346944216</v>
      </c>
      <c r="BM39" s="1">
        <f t="shared" si="25"/>
        <v>-111.26310799386879</v>
      </c>
      <c r="BN39" s="1">
        <f t="shared" si="25"/>
        <v>-111.13321267345864</v>
      </c>
      <c r="BO39" s="1">
        <f t="shared" si="25"/>
        <v>-111.15988027482935</v>
      </c>
      <c r="BP39" s="1">
        <f t="shared" si="25"/>
        <v>-111.33699954737536</v>
      </c>
      <c r="BQ39" s="1">
        <f t="shared" si="25"/>
        <v>-111.62426312683004</v>
      </c>
      <c r="BR39" s="1">
        <f t="shared" si="25"/>
        <v>-111.95735362722512</v>
      </c>
      <c r="BS39" s="1">
        <f t="shared" si="25"/>
        <v>-112.26336360428914</v>
      </c>
      <c r="BT39" s="1">
        <f t="shared" si="25"/>
        <v>-112.47693415764692</v>
      </c>
      <c r="BU39" s="1">
        <f t="shared" si="26"/>
        <v>-112.55339157950874</v>
      </c>
      <c r="BV39" s="1">
        <f t="shared" si="26"/>
        <v>-112.47693415764694</v>
      </c>
      <c r="BW39" s="1">
        <f t="shared" si="26"/>
        <v>-112.26336360428917</v>
      </c>
      <c r="BX39" s="1">
        <f t="shared" si="26"/>
        <v>-111.95735362722516</v>
      </c>
      <c r="BY39" s="1">
        <f t="shared" si="26"/>
        <v>-111.62426312683007</v>
      </c>
      <c r="BZ39" s="1">
        <f t="shared" si="26"/>
        <v>-111.33699954737538</v>
      </c>
      <c r="CA39" s="1">
        <f t="shared" si="26"/>
        <v>-111.15988027482935</v>
      </c>
      <c r="CB39" s="1">
        <f t="shared" si="26"/>
        <v>-111.13321267345863</v>
      </c>
      <c r="CC39" s="1">
        <f t="shared" si="26"/>
        <v>-111.26310799386876</v>
      </c>
      <c r="CD39" s="1">
        <f t="shared" si="26"/>
        <v>-111.51990346944213</v>
      </c>
      <c r="CE39" s="1">
        <f t="shared" si="27"/>
        <v>-111.84573915117457</v>
      </c>
      <c r="CF39" s="1">
        <f t="shared" si="27"/>
        <v>-112.16872210398222</v>
      </c>
      <c r="CG39" s="1">
        <f t="shared" si="27"/>
        <v>-112.41931126664919</v>
      </c>
      <c r="CH39" s="1">
        <f t="shared" si="27"/>
        <v>-112.54476335758915</v>
      </c>
      <c r="CI39" s="1">
        <f t="shared" si="27"/>
        <v>-112.51907873961461</v>
      </c>
      <c r="CJ39" s="1">
        <f t="shared" si="27"/>
        <v>-112.34755826282583</v>
      </c>
      <c r="CK39" s="1">
        <f t="shared" si="27"/>
        <v>-112.06589347912835</v>
      </c>
      <c r="CL39" s="1">
        <f t="shared" si="27"/>
        <v>-111.73378596212945</v>
      </c>
      <c r="CM39" s="1">
        <f t="shared" si="27"/>
        <v>-111.42333275559523</v>
      </c>
      <c r="CN39" s="1">
        <f t="shared" si="27"/>
        <v>-111.20355588933104</v>
      </c>
      <c r="CO39" s="1">
        <f t="shared" si="27"/>
        <v>-111.12424573854439</v>
      </c>
    </row>
    <row r="40" spans="2:93" ht="12.75">
      <c r="B40">
        <f t="shared" si="18"/>
        <v>-0.6</v>
      </c>
      <c r="C40">
        <f t="shared" si="19"/>
        <v>0.6</v>
      </c>
      <c r="D40">
        <f t="shared" si="4"/>
        <v>0.04214082214082215</v>
      </c>
      <c r="E40">
        <f t="shared" si="5"/>
        <v>0.001966122197802198</v>
      </c>
      <c r="F40">
        <f t="shared" si="14"/>
        <v>0.007242942242942243</v>
      </c>
      <c r="G40">
        <f t="shared" si="15"/>
        <v>1.5766308735104892E-05</v>
      </c>
      <c r="H40">
        <f t="shared" si="16"/>
        <v>0.00278328075369699</v>
      </c>
      <c r="I40">
        <f t="shared" si="17"/>
        <v>2.826698727415024E-07</v>
      </c>
      <c r="J40" s="1">
        <f>0.000001*'deformation radiale'!J37</f>
        <v>8.525531763006162E-08</v>
      </c>
      <c r="M40" s="1">
        <f t="shared" si="20"/>
        <v>-102.99053887345605</v>
      </c>
      <c r="N40" s="1">
        <f t="shared" si="20"/>
        <v>-103.12153821386127</v>
      </c>
      <c r="O40" s="1">
        <f t="shared" si="20"/>
        <v>-103.48364165026797</v>
      </c>
      <c r="P40" s="1">
        <f t="shared" si="20"/>
        <v>-103.99282792181572</v>
      </c>
      <c r="Q40" s="1">
        <f t="shared" si="20"/>
        <v>-104.53445886289647</v>
      </c>
      <c r="R40" s="1">
        <f t="shared" si="20"/>
        <v>-104.9912717665555</v>
      </c>
      <c r="S40" s="1">
        <f t="shared" si="20"/>
        <v>-105.2682768233086</v>
      </c>
      <c r="T40" s="1">
        <f t="shared" si="20"/>
        <v>-105.3096799880965</v>
      </c>
      <c r="U40" s="1">
        <f t="shared" si="20"/>
        <v>-105.10726168203587</v>
      </c>
      <c r="V40" s="1">
        <f t="shared" si="20"/>
        <v>-104.70150425215263</v>
      </c>
      <c r="W40" s="1">
        <f t="shared" si="21"/>
        <v>-104.17577008709974</v>
      </c>
      <c r="X40" s="1">
        <f t="shared" si="21"/>
        <v>-103.6423239369519</v>
      </c>
      <c r="Y40" s="1">
        <f t="shared" si="21"/>
        <v>-103.21978853976434</v>
      </c>
      <c r="Z40" s="1">
        <f t="shared" si="21"/>
        <v>-103.00535853530876</v>
      </c>
      <c r="AA40" s="1">
        <f t="shared" si="21"/>
        <v>-103.04941906905793</v>
      </c>
      <c r="AB40" s="1">
        <f t="shared" si="21"/>
        <v>-103.34155974877666</v>
      </c>
      <c r="AC40" s="1">
        <f t="shared" si="21"/>
        <v>-103.8135082754013</v>
      </c>
      <c r="AD40" s="1">
        <f t="shared" si="21"/>
        <v>-104.35779658544332</v>
      </c>
      <c r="AE40" s="1">
        <f t="shared" si="21"/>
        <v>-104.85497115859614</v>
      </c>
      <c r="AF40" s="1">
        <f t="shared" si="21"/>
        <v>-105.2002966276985</v>
      </c>
      <c r="AG40" s="1">
        <f t="shared" si="22"/>
        <v>-105.32358398300877</v>
      </c>
      <c r="AH40" s="1">
        <f t="shared" si="22"/>
        <v>-105.2002966276985</v>
      </c>
      <c r="AI40" s="1">
        <f t="shared" si="22"/>
        <v>-104.85497115859614</v>
      </c>
      <c r="AJ40" s="1">
        <f t="shared" si="22"/>
        <v>-104.35779658544332</v>
      </c>
      <c r="AK40" s="1">
        <f t="shared" si="22"/>
        <v>-103.8135082754013</v>
      </c>
      <c r="AL40" s="1">
        <f t="shared" si="22"/>
        <v>-103.34155974877665</v>
      </c>
      <c r="AM40" s="1">
        <f t="shared" si="22"/>
        <v>-103.04941906905793</v>
      </c>
      <c r="AN40" s="1">
        <f t="shared" si="22"/>
        <v>-103.00535853530876</v>
      </c>
      <c r="AO40" s="1">
        <f t="shared" si="22"/>
        <v>-103.21978853976434</v>
      </c>
      <c r="AP40" s="1">
        <f t="shared" si="22"/>
        <v>-103.6423239369519</v>
      </c>
      <c r="AQ40" s="1">
        <f t="shared" si="23"/>
        <v>-104.17577008709974</v>
      </c>
      <c r="AR40" s="1">
        <f t="shared" si="23"/>
        <v>-104.70150425215265</v>
      </c>
      <c r="AS40" s="1">
        <f t="shared" si="23"/>
        <v>-105.10726168203587</v>
      </c>
      <c r="AT40" s="1">
        <f t="shared" si="23"/>
        <v>-105.3096799880965</v>
      </c>
      <c r="AU40" s="1">
        <f t="shared" si="23"/>
        <v>-105.2682768233086</v>
      </c>
      <c r="AV40" s="1">
        <f t="shared" si="23"/>
        <v>-104.9912717665555</v>
      </c>
      <c r="AW40" s="1">
        <f t="shared" si="23"/>
        <v>-104.53445886289646</v>
      </c>
      <c r="AX40" s="1">
        <f t="shared" si="23"/>
        <v>-103.99282792181572</v>
      </c>
      <c r="AY40" s="1">
        <f t="shared" si="23"/>
        <v>-103.48364165026797</v>
      </c>
      <c r="AZ40" s="1">
        <f t="shared" si="23"/>
        <v>-103.12153821386127</v>
      </c>
      <c r="BA40" s="1">
        <f t="shared" si="24"/>
        <v>-102.99053887345605</v>
      </c>
      <c r="BB40" s="1">
        <f t="shared" si="24"/>
        <v>-103.12153821386127</v>
      </c>
      <c r="BC40" s="1">
        <f t="shared" si="24"/>
        <v>-103.48364165026798</v>
      </c>
      <c r="BD40" s="1">
        <f t="shared" si="24"/>
        <v>-103.99282792181572</v>
      </c>
      <c r="BE40" s="1">
        <f t="shared" si="24"/>
        <v>-104.53445886289647</v>
      </c>
      <c r="BF40" s="1">
        <f t="shared" si="24"/>
        <v>-104.9912717665555</v>
      </c>
      <c r="BG40" s="1">
        <f t="shared" si="24"/>
        <v>-105.2682768233086</v>
      </c>
      <c r="BH40" s="1">
        <f t="shared" si="24"/>
        <v>-105.3096799880965</v>
      </c>
      <c r="BI40" s="1">
        <f t="shared" si="24"/>
        <v>-105.10726168203587</v>
      </c>
      <c r="BJ40" s="1">
        <f t="shared" si="24"/>
        <v>-104.70150425215265</v>
      </c>
      <c r="BK40" s="1">
        <f t="shared" si="25"/>
        <v>-104.17577008709974</v>
      </c>
      <c r="BL40" s="1">
        <f t="shared" si="25"/>
        <v>-103.6423239369519</v>
      </c>
      <c r="BM40" s="1">
        <f t="shared" si="25"/>
        <v>-103.21978853976435</v>
      </c>
      <c r="BN40" s="1">
        <f t="shared" si="25"/>
        <v>-103.00535853530876</v>
      </c>
      <c r="BO40" s="1">
        <f t="shared" si="25"/>
        <v>-103.04941906905793</v>
      </c>
      <c r="BP40" s="1">
        <f t="shared" si="25"/>
        <v>-103.34155974877663</v>
      </c>
      <c r="BQ40" s="1">
        <f t="shared" si="25"/>
        <v>-103.81350827540129</v>
      </c>
      <c r="BR40" s="1">
        <f t="shared" si="25"/>
        <v>-104.3577965854433</v>
      </c>
      <c r="BS40" s="1">
        <f t="shared" si="25"/>
        <v>-104.85497115859611</v>
      </c>
      <c r="BT40" s="1">
        <f t="shared" si="25"/>
        <v>-105.2002966276985</v>
      </c>
      <c r="BU40" s="1">
        <f t="shared" si="26"/>
        <v>-105.32358398300877</v>
      </c>
      <c r="BV40" s="1">
        <f t="shared" si="26"/>
        <v>-105.20029662769853</v>
      </c>
      <c r="BW40" s="1">
        <f t="shared" si="26"/>
        <v>-104.85497115859617</v>
      </c>
      <c r="BX40" s="1">
        <f t="shared" si="26"/>
        <v>-104.35779658544337</v>
      </c>
      <c r="BY40" s="1">
        <f t="shared" si="26"/>
        <v>-103.81350827540135</v>
      </c>
      <c r="BZ40" s="1">
        <f t="shared" si="26"/>
        <v>-103.34155974877669</v>
      </c>
      <c r="CA40" s="1">
        <f t="shared" si="26"/>
        <v>-103.04941906905796</v>
      </c>
      <c r="CB40" s="1">
        <f t="shared" si="26"/>
        <v>-103.00535853530874</v>
      </c>
      <c r="CC40" s="1">
        <f t="shared" si="26"/>
        <v>-103.21978853976431</v>
      </c>
      <c r="CD40" s="1">
        <f t="shared" si="26"/>
        <v>-103.64232393695185</v>
      </c>
      <c r="CE40" s="1">
        <f t="shared" si="27"/>
        <v>-104.17577008709969</v>
      </c>
      <c r="CF40" s="1">
        <f t="shared" si="27"/>
        <v>-104.7015042521526</v>
      </c>
      <c r="CG40" s="1">
        <f t="shared" si="27"/>
        <v>-105.10726168203583</v>
      </c>
      <c r="CH40" s="1">
        <f t="shared" si="27"/>
        <v>-105.30967998809649</v>
      </c>
      <c r="CI40" s="1">
        <f t="shared" si="27"/>
        <v>-105.26827682330863</v>
      </c>
      <c r="CJ40" s="1">
        <f t="shared" si="27"/>
        <v>-104.99127176655554</v>
      </c>
      <c r="CK40" s="1">
        <f t="shared" si="27"/>
        <v>-104.53445886289651</v>
      </c>
      <c r="CL40" s="1">
        <f t="shared" si="27"/>
        <v>-103.9928279218158</v>
      </c>
      <c r="CM40" s="1">
        <f t="shared" si="27"/>
        <v>-103.48364165026804</v>
      </c>
      <c r="CN40" s="1">
        <f t="shared" si="27"/>
        <v>-103.1215382138613</v>
      </c>
      <c r="CO40" s="1">
        <f t="shared" si="27"/>
        <v>-102.99053887345605</v>
      </c>
    </row>
    <row r="41" spans="2:93" ht="12.75">
      <c r="B41">
        <f t="shared" si="18"/>
        <v>-0.65</v>
      </c>
      <c r="C41">
        <f t="shared" si="19"/>
        <v>0.65</v>
      </c>
      <c r="D41">
        <f t="shared" si="4"/>
        <v>0.04065272690272691</v>
      </c>
      <c r="E41">
        <f t="shared" si="5"/>
        <v>0.0030659835638847566</v>
      </c>
      <c r="F41">
        <f t="shared" si="14"/>
        <v>0.006842301217301217</v>
      </c>
      <c r="G41">
        <f t="shared" si="15"/>
        <v>3.89190713365086E-05</v>
      </c>
      <c r="H41">
        <f t="shared" si="16"/>
        <v>0.0026005322156852943</v>
      </c>
      <c r="I41">
        <f t="shared" si="17"/>
        <v>1.1155849785101526E-06</v>
      </c>
      <c r="J41" s="1">
        <f>0.000001*'deformation radiale'!J38</f>
        <v>7.673474227357321E-08</v>
      </c>
      <c r="M41" s="1">
        <f t="shared" si="20"/>
        <v>-93.80317234490066</v>
      </c>
      <c r="N41" s="1">
        <f t="shared" si="20"/>
        <v>-94.01095899940796</v>
      </c>
      <c r="O41" s="1">
        <f t="shared" si="20"/>
        <v>-94.58325175865983</v>
      </c>
      <c r="P41" s="1">
        <f t="shared" si="20"/>
        <v>-95.38273995135246</v>
      </c>
      <c r="Q41" s="1">
        <f t="shared" si="20"/>
        <v>-96.22615482098831</v>
      </c>
      <c r="R41" s="1">
        <f t="shared" si="20"/>
        <v>-96.93163197323528</v>
      </c>
      <c r="S41" s="1">
        <f t="shared" si="20"/>
        <v>-97.35671561591944</v>
      </c>
      <c r="T41" s="1">
        <f t="shared" si="20"/>
        <v>-97.42007208327139</v>
      </c>
      <c r="U41" s="1">
        <f t="shared" si="20"/>
        <v>-97.10987953416104</v>
      </c>
      <c r="V41" s="1">
        <f t="shared" si="20"/>
        <v>-96.48476513427148</v>
      </c>
      <c r="W41" s="1">
        <f t="shared" si="21"/>
        <v>-95.66843734877206</v>
      </c>
      <c r="X41" s="1">
        <f t="shared" si="21"/>
        <v>-94.83307255828315</v>
      </c>
      <c r="Y41" s="1">
        <f t="shared" si="21"/>
        <v>-94.16654181184283</v>
      </c>
      <c r="Z41" s="1">
        <f t="shared" si="21"/>
        <v>-93.82669843230923</v>
      </c>
      <c r="AA41" s="1">
        <f t="shared" si="21"/>
        <v>-93.89661460452992</v>
      </c>
      <c r="AB41" s="1">
        <f t="shared" si="21"/>
        <v>-94.35906047319979</v>
      </c>
      <c r="AC41" s="1">
        <f t="shared" si="21"/>
        <v>-95.10189985143246</v>
      </c>
      <c r="AD41" s="1">
        <f t="shared" si="21"/>
        <v>-95.95187442593704</v>
      </c>
      <c r="AE41" s="1">
        <f t="shared" si="21"/>
        <v>-96.72171178820643</v>
      </c>
      <c r="AF41" s="1">
        <f t="shared" si="21"/>
        <v>-97.25258820090755</v>
      </c>
      <c r="AG41" s="1">
        <f t="shared" si="22"/>
        <v>-97.44133785042537</v>
      </c>
      <c r="AH41" s="1">
        <f t="shared" si="22"/>
        <v>-97.25258820090754</v>
      </c>
      <c r="AI41" s="1">
        <f t="shared" si="22"/>
        <v>-96.72171178820642</v>
      </c>
      <c r="AJ41" s="1">
        <f t="shared" si="22"/>
        <v>-95.95187442593704</v>
      </c>
      <c r="AK41" s="1">
        <f t="shared" si="22"/>
        <v>-95.10189985143245</v>
      </c>
      <c r="AL41" s="1">
        <f t="shared" si="22"/>
        <v>-94.35906047319978</v>
      </c>
      <c r="AM41" s="1">
        <f t="shared" si="22"/>
        <v>-93.89661460452992</v>
      </c>
      <c r="AN41" s="1">
        <f t="shared" si="22"/>
        <v>-93.82669843230923</v>
      </c>
      <c r="AO41" s="1">
        <f t="shared" si="22"/>
        <v>-94.16654181184283</v>
      </c>
      <c r="AP41" s="1">
        <f t="shared" si="22"/>
        <v>-94.83307255828316</v>
      </c>
      <c r="AQ41" s="1">
        <f t="shared" si="23"/>
        <v>-95.66843734877207</v>
      </c>
      <c r="AR41" s="1">
        <f t="shared" si="23"/>
        <v>-96.4847651342715</v>
      </c>
      <c r="AS41" s="1">
        <f t="shared" si="23"/>
        <v>-97.10987953416105</v>
      </c>
      <c r="AT41" s="1">
        <f t="shared" si="23"/>
        <v>-97.4200720832714</v>
      </c>
      <c r="AU41" s="1">
        <f t="shared" si="23"/>
        <v>-97.35671561591944</v>
      </c>
      <c r="AV41" s="1">
        <f t="shared" si="23"/>
        <v>-96.93163197323527</v>
      </c>
      <c r="AW41" s="1">
        <f t="shared" si="23"/>
        <v>-96.2261548209883</v>
      </c>
      <c r="AX41" s="1">
        <f t="shared" si="23"/>
        <v>-95.38273995135245</v>
      </c>
      <c r="AY41" s="1">
        <f t="shared" si="23"/>
        <v>-94.58325175865981</v>
      </c>
      <c r="AZ41" s="1">
        <f t="shared" si="23"/>
        <v>-94.01095899940795</v>
      </c>
      <c r="BA41" s="1">
        <f t="shared" si="24"/>
        <v>-93.80317234490066</v>
      </c>
      <c r="BB41" s="1">
        <f t="shared" si="24"/>
        <v>-94.01095899940796</v>
      </c>
      <c r="BC41" s="1">
        <f t="shared" si="24"/>
        <v>-94.58325175865983</v>
      </c>
      <c r="BD41" s="1">
        <f t="shared" si="24"/>
        <v>-95.38273995135246</v>
      </c>
      <c r="BE41" s="1">
        <f t="shared" si="24"/>
        <v>-96.22615482098831</v>
      </c>
      <c r="BF41" s="1">
        <f t="shared" si="24"/>
        <v>-96.93163197323528</v>
      </c>
      <c r="BG41" s="1">
        <f t="shared" si="24"/>
        <v>-97.35671561591944</v>
      </c>
      <c r="BH41" s="1">
        <f t="shared" si="24"/>
        <v>-97.42007208327139</v>
      </c>
      <c r="BI41" s="1">
        <f t="shared" si="24"/>
        <v>-97.10987953416105</v>
      </c>
      <c r="BJ41" s="1">
        <f t="shared" si="24"/>
        <v>-96.4847651342715</v>
      </c>
      <c r="BK41" s="1">
        <f t="shared" si="25"/>
        <v>-95.66843734877207</v>
      </c>
      <c r="BL41" s="1">
        <f t="shared" si="25"/>
        <v>-94.83307255828316</v>
      </c>
      <c r="BM41" s="1">
        <f t="shared" si="25"/>
        <v>-94.16654181184285</v>
      </c>
      <c r="BN41" s="1">
        <f t="shared" si="25"/>
        <v>-93.82669843230923</v>
      </c>
      <c r="BO41" s="1">
        <f t="shared" si="25"/>
        <v>-93.8966146045299</v>
      </c>
      <c r="BP41" s="1">
        <f t="shared" si="25"/>
        <v>-94.35906047319976</v>
      </c>
      <c r="BQ41" s="1">
        <f t="shared" si="25"/>
        <v>-95.10189985143244</v>
      </c>
      <c r="BR41" s="1">
        <f t="shared" si="25"/>
        <v>-95.951874425937</v>
      </c>
      <c r="BS41" s="1">
        <f t="shared" si="25"/>
        <v>-96.72171178820639</v>
      </c>
      <c r="BT41" s="1">
        <f t="shared" si="25"/>
        <v>-97.25258820090752</v>
      </c>
      <c r="BU41" s="1">
        <f t="shared" si="26"/>
        <v>-97.44133785042537</v>
      </c>
      <c r="BV41" s="1">
        <f t="shared" si="26"/>
        <v>-97.25258820090757</v>
      </c>
      <c r="BW41" s="1">
        <f t="shared" si="26"/>
        <v>-96.72171178820648</v>
      </c>
      <c r="BX41" s="1">
        <f t="shared" si="26"/>
        <v>-95.9518744259371</v>
      </c>
      <c r="BY41" s="1">
        <f t="shared" si="26"/>
        <v>-95.10189985143252</v>
      </c>
      <c r="BZ41" s="1">
        <f t="shared" si="26"/>
        <v>-94.35906047319982</v>
      </c>
      <c r="CA41" s="1">
        <f t="shared" si="26"/>
        <v>-93.89661460452994</v>
      </c>
      <c r="CB41" s="1">
        <f t="shared" si="26"/>
        <v>-93.82669843230921</v>
      </c>
      <c r="CC41" s="1">
        <f t="shared" si="26"/>
        <v>-94.16654181184279</v>
      </c>
      <c r="CD41" s="1">
        <f t="shared" si="26"/>
        <v>-94.83307255828308</v>
      </c>
      <c r="CE41" s="1">
        <f t="shared" si="27"/>
        <v>-95.66843734877197</v>
      </c>
      <c r="CF41" s="1">
        <f t="shared" si="27"/>
        <v>-96.48476513427141</v>
      </c>
      <c r="CG41" s="1">
        <f t="shared" si="27"/>
        <v>-97.109879534161</v>
      </c>
      <c r="CH41" s="1">
        <f t="shared" si="27"/>
        <v>-97.42007208327139</v>
      </c>
      <c r="CI41" s="1">
        <f t="shared" si="27"/>
        <v>-97.35671561591947</v>
      </c>
      <c r="CJ41" s="1">
        <f t="shared" si="27"/>
        <v>-96.93163197323534</v>
      </c>
      <c r="CK41" s="1">
        <f t="shared" si="27"/>
        <v>-96.22615482098841</v>
      </c>
      <c r="CL41" s="1">
        <f t="shared" si="27"/>
        <v>-95.38273995135256</v>
      </c>
      <c r="CM41" s="1">
        <f t="shared" si="27"/>
        <v>-94.5832517586599</v>
      </c>
      <c r="CN41" s="1">
        <f t="shared" si="27"/>
        <v>-94.010958999408</v>
      </c>
      <c r="CO41" s="1">
        <f t="shared" si="27"/>
        <v>-93.80317234490066</v>
      </c>
    </row>
    <row r="42" spans="2:93" ht="12.75">
      <c r="B42">
        <f t="shared" si="18"/>
        <v>-0.7000000000000001</v>
      </c>
      <c r="C42">
        <f t="shared" si="19"/>
        <v>0.7000000000000001</v>
      </c>
      <c r="D42">
        <f t="shared" si="4"/>
        <v>0.039045584045584045</v>
      </c>
      <c r="E42">
        <f t="shared" si="5"/>
        <v>0.00459367391737892</v>
      </c>
      <c r="F42">
        <f t="shared" si="14"/>
        <v>0.006409608909608909</v>
      </c>
      <c r="G42">
        <f t="shared" si="15"/>
        <v>8.871723776398546E-05</v>
      </c>
      <c r="H42">
        <f t="shared" si="16"/>
        <v>0.0024031637946326624</v>
      </c>
      <c r="I42">
        <f t="shared" si="17"/>
        <v>3.913344601185907E-06</v>
      </c>
      <c r="J42" s="1">
        <f>0.000001*'deformation radiale'!J39</f>
        <v>6.741007686205826E-08</v>
      </c>
      <c r="M42" s="1">
        <f t="shared" si="20"/>
        <v>-83.54090519624405</v>
      </c>
      <c r="N42" s="1">
        <f t="shared" si="20"/>
        <v>-83.85966231996225</v>
      </c>
      <c r="O42" s="1">
        <f t="shared" si="20"/>
        <v>-84.73329037477164</v>
      </c>
      <c r="P42" s="1">
        <f t="shared" si="20"/>
        <v>-85.94272276797437</v>
      </c>
      <c r="Q42" s="1">
        <f t="shared" si="20"/>
        <v>-87.20382429523276</v>
      </c>
      <c r="R42" s="1">
        <f t="shared" si="20"/>
        <v>-88.24622536237084</v>
      </c>
      <c r="S42" s="1">
        <f t="shared" si="20"/>
        <v>-88.86852099689888</v>
      </c>
      <c r="T42" s="1">
        <f t="shared" si="20"/>
        <v>-88.96088372894224</v>
      </c>
      <c r="U42" s="1">
        <f t="shared" si="20"/>
        <v>-88.50771377153767</v>
      </c>
      <c r="V42" s="1">
        <f t="shared" si="20"/>
        <v>-87.58730153851806</v>
      </c>
      <c r="W42" s="1">
        <f t="shared" si="21"/>
        <v>-86.37165781061876</v>
      </c>
      <c r="X42" s="1">
        <f t="shared" si="21"/>
        <v>-85.11261863570677</v>
      </c>
      <c r="Y42" s="1">
        <f t="shared" si="21"/>
        <v>-84.09779654813312</v>
      </c>
      <c r="Z42" s="1">
        <f t="shared" si="21"/>
        <v>-83.57703659738532</v>
      </c>
      <c r="AA42" s="1">
        <f t="shared" si="21"/>
        <v>-83.68435238140334</v>
      </c>
      <c r="AB42" s="1">
        <f t="shared" si="21"/>
        <v>-84.39181637612955</v>
      </c>
      <c r="AC42" s="1">
        <f t="shared" si="21"/>
        <v>-85.5193858034658</v>
      </c>
      <c r="AD42" s="1">
        <f t="shared" si="21"/>
        <v>-86.79544038269887</v>
      </c>
      <c r="AE42" s="1">
        <f t="shared" si="21"/>
        <v>-87.93728278255836</v>
      </c>
      <c r="AF42" s="1">
        <f t="shared" si="21"/>
        <v>-88.71650098281368</v>
      </c>
      <c r="AG42" s="1">
        <f t="shared" si="22"/>
        <v>-88.99186265951921</v>
      </c>
      <c r="AH42" s="1">
        <f t="shared" si="22"/>
        <v>-88.71650098281368</v>
      </c>
      <c r="AI42" s="1">
        <f t="shared" si="22"/>
        <v>-87.93728278255836</v>
      </c>
      <c r="AJ42" s="1">
        <f t="shared" si="22"/>
        <v>-86.79544038269886</v>
      </c>
      <c r="AK42" s="1">
        <f t="shared" si="22"/>
        <v>-85.51938580346578</v>
      </c>
      <c r="AL42" s="1">
        <f t="shared" si="22"/>
        <v>-84.39181637612955</v>
      </c>
      <c r="AM42" s="1">
        <f t="shared" si="22"/>
        <v>-83.68435238140334</v>
      </c>
      <c r="AN42" s="1">
        <f t="shared" si="22"/>
        <v>-83.57703659738532</v>
      </c>
      <c r="AO42" s="1">
        <f t="shared" si="22"/>
        <v>-84.09779654813313</v>
      </c>
      <c r="AP42" s="1">
        <f t="shared" si="22"/>
        <v>-85.1126186357068</v>
      </c>
      <c r="AQ42" s="1">
        <f t="shared" si="23"/>
        <v>-86.37165781061876</v>
      </c>
      <c r="AR42" s="1">
        <f t="shared" si="23"/>
        <v>-87.58730153851809</v>
      </c>
      <c r="AS42" s="1">
        <f t="shared" si="23"/>
        <v>-88.50771377153767</v>
      </c>
      <c r="AT42" s="1">
        <f t="shared" si="23"/>
        <v>-88.96088372894224</v>
      </c>
      <c r="AU42" s="1">
        <f t="shared" si="23"/>
        <v>-88.86852099689887</v>
      </c>
      <c r="AV42" s="1">
        <f t="shared" si="23"/>
        <v>-88.24622536237081</v>
      </c>
      <c r="AW42" s="1">
        <f t="shared" si="23"/>
        <v>-87.20382429523275</v>
      </c>
      <c r="AX42" s="1">
        <f t="shared" si="23"/>
        <v>-85.94272276797435</v>
      </c>
      <c r="AY42" s="1">
        <f t="shared" si="23"/>
        <v>-84.73329037477163</v>
      </c>
      <c r="AZ42" s="1">
        <f t="shared" si="23"/>
        <v>-83.85966231996224</v>
      </c>
      <c r="BA42" s="1">
        <f t="shared" si="24"/>
        <v>-83.54090519624405</v>
      </c>
      <c r="BB42" s="1">
        <f t="shared" si="24"/>
        <v>-83.85966231996227</v>
      </c>
      <c r="BC42" s="1">
        <f t="shared" si="24"/>
        <v>-84.73329037477164</v>
      </c>
      <c r="BD42" s="1">
        <f t="shared" si="24"/>
        <v>-85.94272276797436</v>
      </c>
      <c r="BE42" s="1">
        <f t="shared" si="24"/>
        <v>-87.20382429523278</v>
      </c>
      <c r="BF42" s="1">
        <f t="shared" si="24"/>
        <v>-88.24622536237084</v>
      </c>
      <c r="BG42" s="1">
        <f t="shared" si="24"/>
        <v>-88.86852099689887</v>
      </c>
      <c r="BH42" s="1">
        <f t="shared" si="24"/>
        <v>-88.96088372894224</v>
      </c>
      <c r="BI42" s="1">
        <f t="shared" si="24"/>
        <v>-88.50771377153767</v>
      </c>
      <c r="BJ42" s="1">
        <f t="shared" si="24"/>
        <v>-87.58730153851809</v>
      </c>
      <c r="BK42" s="1">
        <f t="shared" si="25"/>
        <v>-86.37165781061879</v>
      </c>
      <c r="BL42" s="1">
        <f t="shared" si="25"/>
        <v>-85.1126186357068</v>
      </c>
      <c r="BM42" s="1">
        <f t="shared" si="25"/>
        <v>-84.09779654813315</v>
      </c>
      <c r="BN42" s="1">
        <f t="shared" si="25"/>
        <v>-83.57703659738533</v>
      </c>
      <c r="BO42" s="1">
        <f t="shared" si="25"/>
        <v>-83.68435238140333</v>
      </c>
      <c r="BP42" s="1">
        <f t="shared" si="25"/>
        <v>-84.39181637612953</v>
      </c>
      <c r="BQ42" s="1">
        <f t="shared" si="25"/>
        <v>-85.51938580346577</v>
      </c>
      <c r="BR42" s="1">
        <f t="shared" si="25"/>
        <v>-86.79544038269881</v>
      </c>
      <c r="BS42" s="1">
        <f t="shared" si="25"/>
        <v>-87.93728278255831</v>
      </c>
      <c r="BT42" s="1">
        <f t="shared" si="25"/>
        <v>-88.71650098281366</v>
      </c>
      <c r="BU42" s="1">
        <f t="shared" si="26"/>
        <v>-88.99186265951921</v>
      </c>
      <c r="BV42" s="1">
        <f t="shared" si="26"/>
        <v>-88.71650098281371</v>
      </c>
      <c r="BW42" s="1">
        <f t="shared" si="26"/>
        <v>-87.93728278255843</v>
      </c>
      <c r="BX42" s="1">
        <f t="shared" si="26"/>
        <v>-86.79544038269894</v>
      </c>
      <c r="BY42" s="1">
        <f t="shared" si="26"/>
        <v>-85.51938580346588</v>
      </c>
      <c r="BZ42" s="1">
        <f t="shared" si="26"/>
        <v>-84.39181637612963</v>
      </c>
      <c r="CA42" s="1">
        <f t="shared" si="26"/>
        <v>-83.68435238140337</v>
      </c>
      <c r="CB42" s="1">
        <f t="shared" si="26"/>
        <v>-83.5770365973853</v>
      </c>
      <c r="CC42" s="1">
        <f t="shared" si="26"/>
        <v>-84.09779654813305</v>
      </c>
      <c r="CD42" s="1">
        <f t="shared" si="26"/>
        <v>-85.11261863570668</v>
      </c>
      <c r="CE42" s="1">
        <f t="shared" si="27"/>
        <v>-86.37165781061864</v>
      </c>
      <c r="CF42" s="1">
        <f t="shared" si="27"/>
        <v>-87.58730153851796</v>
      </c>
      <c r="CG42" s="1">
        <f t="shared" si="27"/>
        <v>-88.5077137715376</v>
      </c>
      <c r="CH42" s="1">
        <f t="shared" si="27"/>
        <v>-88.9608837289422</v>
      </c>
      <c r="CI42" s="1">
        <f t="shared" si="27"/>
        <v>-88.86852099689891</v>
      </c>
      <c r="CJ42" s="1">
        <f t="shared" si="27"/>
        <v>-88.24622536237094</v>
      </c>
      <c r="CK42" s="1">
        <f t="shared" si="27"/>
        <v>-87.20382429523289</v>
      </c>
      <c r="CL42" s="1">
        <f t="shared" si="27"/>
        <v>-85.94272276797453</v>
      </c>
      <c r="CM42" s="1">
        <f t="shared" si="27"/>
        <v>-84.73329037477177</v>
      </c>
      <c r="CN42" s="1">
        <f t="shared" si="27"/>
        <v>-83.85966231996233</v>
      </c>
      <c r="CO42" s="1">
        <f t="shared" si="27"/>
        <v>-83.54090519624405</v>
      </c>
    </row>
    <row r="43" spans="2:93" ht="12.75">
      <c r="B43">
        <f t="shared" si="18"/>
        <v>-0.7500000000000001</v>
      </c>
      <c r="C43">
        <f t="shared" si="19"/>
        <v>0.7500000000000001</v>
      </c>
      <c r="D43">
        <f t="shared" si="4"/>
        <v>0.037319393569393566</v>
      </c>
      <c r="E43">
        <f t="shared" si="5"/>
        <v>0.006642050271505845</v>
      </c>
      <c r="F43">
        <f t="shared" si="14"/>
        <v>0.005944865319865319</v>
      </c>
      <c r="G43">
        <f t="shared" si="15"/>
        <v>0.0001883116466077895</v>
      </c>
      <c r="H43">
        <f t="shared" si="16"/>
        <v>0.0021911754905390947</v>
      </c>
      <c r="I43">
        <f t="shared" si="17"/>
        <v>1.2353212223817154E-05</v>
      </c>
      <c r="J43" s="1">
        <f>0.000001*'deformation radiale'!J40</f>
        <v>5.734924146453526E-08</v>
      </c>
      <c r="M43" s="1">
        <f t="shared" si="20"/>
        <v>-72.20064696286752</v>
      </c>
      <c r="N43" s="1">
        <f t="shared" si="20"/>
        <v>-72.67622454060985</v>
      </c>
      <c r="O43" s="1">
        <f t="shared" si="20"/>
        <v>-73.97135743459012</v>
      </c>
      <c r="P43" s="1">
        <f t="shared" si="20"/>
        <v>-75.74295960016275</v>
      </c>
      <c r="Q43" s="1">
        <f t="shared" si="20"/>
        <v>-77.56134268001506</v>
      </c>
      <c r="R43" s="1">
        <f t="shared" si="20"/>
        <v>-79.03974695756436</v>
      </c>
      <c r="S43" s="1">
        <f t="shared" si="20"/>
        <v>-79.9107155631623</v>
      </c>
      <c r="T43" s="1">
        <f t="shared" si="20"/>
        <v>-80.03920467759644</v>
      </c>
      <c r="U43" s="1">
        <f t="shared" si="20"/>
        <v>-79.40682941837213</v>
      </c>
      <c r="V43" s="1">
        <f t="shared" si="20"/>
        <v>-78.10793713877935</v>
      </c>
      <c r="W43" s="1">
        <f t="shared" si="21"/>
        <v>-76.36490543419367</v>
      </c>
      <c r="X43" s="1">
        <f t="shared" si="21"/>
        <v>-74.52976233966619</v>
      </c>
      <c r="Y43" s="1">
        <f t="shared" si="21"/>
        <v>-73.0304752369797</v>
      </c>
      <c r="Z43" s="1">
        <f t="shared" si="21"/>
        <v>-72.2546331243967</v>
      </c>
      <c r="AA43" s="1">
        <f t="shared" si="21"/>
        <v>-72.41486166073047</v>
      </c>
      <c r="AB43" s="1">
        <f t="shared" si="21"/>
        <v>-73.46660904790488</v>
      </c>
      <c r="AC43" s="1">
        <f t="shared" si="21"/>
        <v>-75.12579210703065</v>
      </c>
      <c r="AD43" s="1">
        <f t="shared" si="21"/>
        <v>-76.9759146087826</v>
      </c>
      <c r="AE43" s="1">
        <f t="shared" si="21"/>
        <v>-78.60404992099654</v>
      </c>
      <c r="AF43" s="1">
        <f t="shared" si="21"/>
        <v>-79.6987879918831</v>
      </c>
      <c r="AG43" s="1">
        <f t="shared" si="22"/>
        <v>-80.08225417968362</v>
      </c>
      <c r="AH43" s="1">
        <f t="shared" si="22"/>
        <v>-79.6987879918831</v>
      </c>
      <c r="AI43" s="1">
        <f t="shared" si="22"/>
        <v>-78.60404992099653</v>
      </c>
      <c r="AJ43" s="1">
        <f t="shared" si="22"/>
        <v>-76.97591460878259</v>
      </c>
      <c r="AK43" s="1">
        <f t="shared" si="22"/>
        <v>-75.12579210703063</v>
      </c>
      <c r="AL43" s="1">
        <f t="shared" si="22"/>
        <v>-73.46660904790487</v>
      </c>
      <c r="AM43" s="1">
        <f t="shared" si="22"/>
        <v>-72.41486166073047</v>
      </c>
      <c r="AN43" s="1">
        <f t="shared" si="22"/>
        <v>-72.2546331243967</v>
      </c>
      <c r="AO43" s="1">
        <f t="shared" si="22"/>
        <v>-73.0304752369797</v>
      </c>
      <c r="AP43" s="1">
        <f t="shared" si="22"/>
        <v>-74.5297623396662</v>
      </c>
      <c r="AQ43" s="1">
        <f t="shared" si="23"/>
        <v>-76.36490543419369</v>
      </c>
      <c r="AR43" s="1">
        <f t="shared" si="23"/>
        <v>-78.10793713877938</v>
      </c>
      <c r="AS43" s="1">
        <f t="shared" si="23"/>
        <v>-79.40682941837214</v>
      </c>
      <c r="AT43" s="1">
        <f t="shared" si="23"/>
        <v>-80.03920467759644</v>
      </c>
      <c r="AU43" s="1">
        <f t="shared" si="23"/>
        <v>-79.9107155631623</v>
      </c>
      <c r="AV43" s="1">
        <f t="shared" si="23"/>
        <v>-79.03974695756435</v>
      </c>
      <c r="AW43" s="1">
        <f t="shared" si="23"/>
        <v>-77.56134268001503</v>
      </c>
      <c r="AX43" s="1">
        <f t="shared" si="23"/>
        <v>-75.74295960016272</v>
      </c>
      <c r="AY43" s="1">
        <f t="shared" si="23"/>
        <v>-73.97135743459009</v>
      </c>
      <c r="AZ43" s="1">
        <f t="shared" si="23"/>
        <v>-72.67622454060982</v>
      </c>
      <c r="BA43" s="1">
        <f t="shared" si="24"/>
        <v>-72.20064696286752</v>
      </c>
      <c r="BB43" s="1">
        <f t="shared" si="24"/>
        <v>-72.67622454060987</v>
      </c>
      <c r="BC43" s="1">
        <f t="shared" si="24"/>
        <v>-73.97135743459012</v>
      </c>
      <c r="BD43" s="1">
        <f t="shared" si="24"/>
        <v>-75.74295960016275</v>
      </c>
      <c r="BE43" s="1">
        <f t="shared" si="24"/>
        <v>-77.56134268001507</v>
      </c>
      <c r="BF43" s="1">
        <f t="shared" si="24"/>
        <v>-79.03974695756436</v>
      </c>
      <c r="BG43" s="1">
        <f t="shared" si="24"/>
        <v>-79.9107155631623</v>
      </c>
      <c r="BH43" s="1">
        <f t="shared" si="24"/>
        <v>-80.03920467759644</v>
      </c>
      <c r="BI43" s="1">
        <f t="shared" si="24"/>
        <v>-79.40682941837214</v>
      </c>
      <c r="BJ43" s="1">
        <f t="shared" si="24"/>
        <v>-78.10793713877938</v>
      </c>
      <c r="BK43" s="1">
        <f t="shared" si="25"/>
        <v>-76.3649054341937</v>
      </c>
      <c r="BL43" s="1">
        <f t="shared" si="25"/>
        <v>-74.5297623396662</v>
      </c>
      <c r="BM43" s="1">
        <f t="shared" si="25"/>
        <v>-73.03047523697971</v>
      </c>
      <c r="BN43" s="1">
        <f t="shared" si="25"/>
        <v>-72.25463312439672</v>
      </c>
      <c r="BO43" s="1">
        <f t="shared" si="25"/>
        <v>-72.41486166073044</v>
      </c>
      <c r="BP43" s="1">
        <f t="shared" si="25"/>
        <v>-73.46660904790483</v>
      </c>
      <c r="BQ43" s="1">
        <f t="shared" si="25"/>
        <v>-75.12579210703059</v>
      </c>
      <c r="BR43" s="1">
        <f t="shared" si="25"/>
        <v>-76.97591460878252</v>
      </c>
      <c r="BS43" s="1">
        <f t="shared" si="25"/>
        <v>-78.60404992099647</v>
      </c>
      <c r="BT43" s="1">
        <f t="shared" si="25"/>
        <v>-79.69878799188305</v>
      </c>
      <c r="BU43" s="1">
        <f t="shared" si="26"/>
        <v>-80.08225417968362</v>
      </c>
      <c r="BV43" s="1">
        <f t="shared" si="26"/>
        <v>-79.69878799188315</v>
      </c>
      <c r="BW43" s="1">
        <f t="shared" si="26"/>
        <v>-78.60404992099662</v>
      </c>
      <c r="BX43" s="1">
        <f t="shared" si="26"/>
        <v>-76.97591460878272</v>
      </c>
      <c r="BY43" s="1">
        <f t="shared" si="26"/>
        <v>-75.12579210703079</v>
      </c>
      <c r="BZ43" s="1">
        <f t="shared" si="26"/>
        <v>-73.46660904790498</v>
      </c>
      <c r="CA43" s="1">
        <f t="shared" si="26"/>
        <v>-72.41486166073051</v>
      </c>
      <c r="CB43" s="1">
        <f t="shared" si="26"/>
        <v>-72.25463312439668</v>
      </c>
      <c r="CC43" s="1">
        <f t="shared" si="26"/>
        <v>-73.03047523697958</v>
      </c>
      <c r="CD43" s="1">
        <f t="shared" si="26"/>
        <v>-74.52976233966605</v>
      </c>
      <c r="CE43" s="1">
        <f t="shared" si="27"/>
        <v>-76.3649054341935</v>
      </c>
      <c r="CF43" s="1">
        <f t="shared" si="27"/>
        <v>-78.10793713877918</v>
      </c>
      <c r="CG43" s="1">
        <f t="shared" si="27"/>
        <v>-79.40682941837204</v>
      </c>
      <c r="CH43" s="1">
        <f t="shared" si="27"/>
        <v>-80.03920467759642</v>
      </c>
      <c r="CI43" s="1">
        <f t="shared" si="27"/>
        <v>-79.91071556316236</v>
      </c>
      <c r="CJ43" s="1">
        <f t="shared" si="27"/>
        <v>-79.03974695756449</v>
      </c>
      <c r="CK43" s="1">
        <f t="shared" si="27"/>
        <v>-77.56134268001526</v>
      </c>
      <c r="CL43" s="1">
        <f t="shared" si="27"/>
        <v>-75.74295960016298</v>
      </c>
      <c r="CM43" s="1">
        <f t="shared" si="27"/>
        <v>-73.97135743459032</v>
      </c>
      <c r="CN43" s="1">
        <f t="shared" si="27"/>
        <v>-72.67622454060995</v>
      </c>
      <c r="CO43" s="1">
        <f t="shared" si="27"/>
        <v>-72.20064696286752</v>
      </c>
    </row>
    <row r="44" spans="2:93" ht="12.75">
      <c r="B44">
        <f t="shared" si="18"/>
        <v>-0.8000000000000002</v>
      </c>
      <c r="C44">
        <f t="shared" si="19"/>
        <v>0.8000000000000002</v>
      </c>
      <c r="D44">
        <f t="shared" si="4"/>
        <v>0.03547415547415547</v>
      </c>
      <c r="E44">
        <f t="shared" si="5"/>
        <v>0.009299337012617022</v>
      </c>
      <c r="F44">
        <f t="shared" si="14"/>
        <v>0.005448070448070446</v>
      </c>
      <c r="G44">
        <f t="shared" si="15"/>
        <v>0.00037438855041226695</v>
      </c>
      <c r="H44">
        <f t="shared" si="16"/>
        <v>0.0019645673034045918</v>
      </c>
      <c r="I44">
        <f t="shared" si="17"/>
        <v>3.539049830222884E-05</v>
      </c>
      <c r="J44" s="1">
        <f>0.000001*'deformation radiale'!J41</f>
        <v>4.66446866923427E-08</v>
      </c>
      <c r="M44" s="1">
        <f t="shared" si="20"/>
        <v>-59.795424073111214</v>
      </c>
      <c r="N44" s="1">
        <f t="shared" si="20"/>
        <v>-60.48834971989457</v>
      </c>
      <c r="O44" s="1">
        <f t="shared" si="20"/>
        <v>-62.36054909925077</v>
      </c>
      <c r="P44" s="1">
        <f t="shared" si="20"/>
        <v>-64.8831003310802</v>
      </c>
      <c r="Q44" s="1">
        <f t="shared" si="20"/>
        <v>-67.41963201037284</v>
      </c>
      <c r="R44" s="1">
        <f t="shared" si="20"/>
        <v>-69.43634725312728</v>
      </c>
      <c r="S44" s="1">
        <f t="shared" si="20"/>
        <v>-70.60260988018953</v>
      </c>
      <c r="T44" s="1">
        <f t="shared" si="20"/>
        <v>-70.77317128560037</v>
      </c>
      <c r="U44" s="1">
        <f t="shared" si="20"/>
        <v>-69.92998523299313</v>
      </c>
      <c r="V44" s="1">
        <f t="shared" si="20"/>
        <v>-68.17036712795692</v>
      </c>
      <c r="W44" s="1">
        <f t="shared" si="21"/>
        <v>-65.75708391266689</v>
      </c>
      <c r="X44" s="1">
        <f t="shared" si="21"/>
        <v>-63.16067102707774</v>
      </c>
      <c r="Y44" s="1">
        <f t="shared" si="21"/>
        <v>-61.00264141282437</v>
      </c>
      <c r="Z44" s="1">
        <f t="shared" si="21"/>
        <v>-59.874224211593386</v>
      </c>
      <c r="AA44" s="1">
        <f t="shared" si="21"/>
        <v>-60.10788780091044</v>
      </c>
      <c r="AB44" s="1">
        <f t="shared" si="21"/>
        <v>-61.63356264277146</v>
      </c>
      <c r="AC44" s="1">
        <f t="shared" si="21"/>
        <v>-64.00969010032469</v>
      </c>
      <c r="AD44" s="1">
        <f t="shared" si="21"/>
        <v>-66.60932396352354</v>
      </c>
      <c r="AE44" s="1">
        <f t="shared" si="21"/>
        <v>-68.84664404672924</v>
      </c>
      <c r="AF44" s="1">
        <f t="shared" si="21"/>
        <v>-70.32043191686827</v>
      </c>
      <c r="AG44" s="1">
        <f t="shared" si="22"/>
        <v>-70.83022789335249</v>
      </c>
      <c r="AH44" s="1">
        <f t="shared" si="22"/>
        <v>-70.32043191686826</v>
      </c>
      <c r="AI44" s="1">
        <f t="shared" si="22"/>
        <v>-68.84664404672922</v>
      </c>
      <c r="AJ44" s="1">
        <f t="shared" si="22"/>
        <v>-66.60932396352351</v>
      </c>
      <c r="AK44" s="1">
        <f t="shared" si="22"/>
        <v>-64.00969010032468</v>
      </c>
      <c r="AL44" s="1">
        <f t="shared" si="22"/>
        <v>-61.63356264277145</v>
      </c>
      <c r="AM44" s="1">
        <f t="shared" si="22"/>
        <v>-60.107887800910426</v>
      </c>
      <c r="AN44" s="1">
        <f t="shared" si="22"/>
        <v>-59.8742242115934</v>
      </c>
      <c r="AO44" s="1">
        <f t="shared" si="22"/>
        <v>-61.00264141282438</v>
      </c>
      <c r="AP44" s="1">
        <f t="shared" si="22"/>
        <v>-63.16067102707777</v>
      </c>
      <c r="AQ44" s="1">
        <f t="shared" si="23"/>
        <v>-65.75708391266691</v>
      </c>
      <c r="AR44" s="1">
        <f t="shared" si="23"/>
        <v>-68.17036712795695</v>
      </c>
      <c r="AS44" s="1">
        <f t="shared" si="23"/>
        <v>-69.92998523299316</v>
      </c>
      <c r="AT44" s="1">
        <f t="shared" si="23"/>
        <v>-70.77317128560038</v>
      </c>
      <c r="AU44" s="1">
        <f t="shared" si="23"/>
        <v>-70.60260988018952</v>
      </c>
      <c r="AV44" s="1">
        <f t="shared" si="23"/>
        <v>-69.43634725312725</v>
      </c>
      <c r="AW44" s="1">
        <f t="shared" si="23"/>
        <v>-67.4196320103728</v>
      </c>
      <c r="AX44" s="1">
        <f t="shared" si="23"/>
        <v>-64.88310033108017</v>
      </c>
      <c r="AY44" s="1">
        <f t="shared" si="23"/>
        <v>-62.36054909925073</v>
      </c>
      <c r="AZ44" s="1">
        <f t="shared" si="23"/>
        <v>-60.48834971989454</v>
      </c>
      <c r="BA44" s="1">
        <f t="shared" si="24"/>
        <v>-59.795424073111214</v>
      </c>
      <c r="BB44" s="1">
        <f t="shared" si="24"/>
        <v>-60.4883497198946</v>
      </c>
      <c r="BC44" s="1">
        <f t="shared" si="24"/>
        <v>-62.3605490992508</v>
      </c>
      <c r="BD44" s="1">
        <f t="shared" si="24"/>
        <v>-64.8831003310802</v>
      </c>
      <c r="BE44" s="1">
        <f t="shared" si="24"/>
        <v>-67.41963201037284</v>
      </c>
      <c r="BF44" s="1">
        <f t="shared" si="24"/>
        <v>-69.43634725312728</v>
      </c>
      <c r="BG44" s="1">
        <f t="shared" si="24"/>
        <v>-70.60260988018955</v>
      </c>
      <c r="BH44" s="1">
        <f t="shared" si="24"/>
        <v>-70.77317128560038</v>
      </c>
      <c r="BI44" s="1">
        <f t="shared" si="24"/>
        <v>-69.92998523299316</v>
      </c>
      <c r="BJ44" s="1">
        <f t="shared" si="24"/>
        <v>-68.17036712795696</v>
      </c>
      <c r="BK44" s="1">
        <f t="shared" si="25"/>
        <v>-65.75708391266694</v>
      </c>
      <c r="BL44" s="1">
        <f t="shared" si="25"/>
        <v>-63.16067102707777</v>
      </c>
      <c r="BM44" s="1">
        <f t="shared" si="25"/>
        <v>-61.0026414128244</v>
      </c>
      <c r="BN44" s="1">
        <f t="shared" si="25"/>
        <v>-59.8742242115934</v>
      </c>
      <c r="BO44" s="1">
        <f t="shared" si="25"/>
        <v>-60.1078878009104</v>
      </c>
      <c r="BP44" s="1">
        <f t="shared" si="25"/>
        <v>-61.63356264277138</v>
      </c>
      <c r="BQ44" s="1">
        <f t="shared" si="25"/>
        <v>-64.0096901003246</v>
      </c>
      <c r="BR44" s="1">
        <f t="shared" si="25"/>
        <v>-66.60932396352342</v>
      </c>
      <c r="BS44" s="1">
        <f t="shared" si="25"/>
        <v>-68.84664404672912</v>
      </c>
      <c r="BT44" s="1">
        <f t="shared" si="25"/>
        <v>-70.3204319168682</v>
      </c>
      <c r="BU44" s="1">
        <f t="shared" si="26"/>
        <v>-70.83022789335249</v>
      </c>
      <c r="BV44" s="1">
        <f t="shared" si="26"/>
        <v>-70.32043191686834</v>
      </c>
      <c r="BW44" s="1">
        <f t="shared" si="26"/>
        <v>-68.84664404672934</v>
      </c>
      <c r="BX44" s="1">
        <f t="shared" si="26"/>
        <v>-66.6093239635237</v>
      </c>
      <c r="BY44" s="1">
        <f t="shared" si="26"/>
        <v>-64.00969010032487</v>
      </c>
      <c r="BZ44" s="1">
        <f t="shared" si="26"/>
        <v>-61.63356264277162</v>
      </c>
      <c r="CA44" s="1">
        <f t="shared" si="26"/>
        <v>-60.107887800910504</v>
      </c>
      <c r="CB44" s="1">
        <f t="shared" si="26"/>
        <v>-59.87422421159336</v>
      </c>
      <c r="CC44" s="1">
        <f t="shared" si="26"/>
        <v>-61.002641412824204</v>
      </c>
      <c r="CD44" s="1">
        <f t="shared" si="26"/>
        <v>-63.16067102707753</v>
      </c>
      <c r="CE44" s="1">
        <f t="shared" si="27"/>
        <v>-65.75708391266667</v>
      </c>
      <c r="CF44" s="1">
        <f t="shared" si="27"/>
        <v>-68.17036712795671</v>
      </c>
      <c r="CG44" s="1">
        <f t="shared" si="27"/>
        <v>-69.929985232993</v>
      </c>
      <c r="CH44" s="1">
        <f t="shared" si="27"/>
        <v>-70.77317128560034</v>
      </c>
      <c r="CI44" s="1">
        <f t="shared" si="27"/>
        <v>-70.6026098801896</v>
      </c>
      <c r="CJ44" s="1">
        <f t="shared" si="27"/>
        <v>-69.43634725312747</v>
      </c>
      <c r="CK44" s="1">
        <f t="shared" si="27"/>
        <v>-67.4196320103731</v>
      </c>
      <c r="CL44" s="1">
        <f t="shared" si="27"/>
        <v>-64.88310033108053</v>
      </c>
      <c r="CM44" s="1">
        <f t="shared" si="27"/>
        <v>-62.36054909925105</v>
      </c>
      <c r="CN44" s="1">
        <f t="shared" si="27"/>
        <v>-60.488349719894735</v>
      </c>
      <c r="CO44" s="1">
        <f t="shared" si="27"/>
        <v>-59.795424073111214</v>
      </c>
    </row>
    <row r="45" spans="2:93" ht="12.75">
      <c r="B45">
        <f t="shared" si="18"/>
        <v>-0.8500000000000002</v>
      </c>
      <c r="C45">
        <f t="shared" si="19"/>
        <v>0.8500000000000002</v>
      </c>
      <c r="D45">
        <f t="shared" si="4"/>
        <v>0.033509869759869755</v>
      </c>
      <c r="E45">
        <f t="shared" si="5"/>
        <v>0.012638231148591732</v>
      </c>
      <c r="F45">
        <f t="shared" si="14"/>
        <v>0.004919224294224292</v>
      </c>
      <c r="G45">
        <f t="shared" si="15"/>
        <v>0.0006997191073574117</v>
      </c>
      <c r="H45">
        <f t="shared" si="16"/>
        <v>0.001723339233229153</v>
      </c>
      <c r="I45">
        <f t="shared" si="17"/>
        <v>9.245096273980457E-05</v>
      </c>
      <c r="J45" s="1">
        <f>0.000001*'deformation radiale'!J42</f>
        <v>3.5411446916753065E-08</v>
      </c>
      <c r="M45" s="1">
        <f t="shared" si="20"/>
        <v>-46.354303691898785</v>
      </c>
      <c r="N45" s="1">
        <f t="shared" si="20"/>
        <v>-47.34271245530857</v>
      </c>
      <c r="O45" s="1">
        <f t="shared" si="20"/>
        <v>-49.9886971254478</v>
      </c>
      <c r="P45" s="1">
        <f t="shared" si="20"/>
        <v>-53.48968380247966</v>
      </c>
      <c r="Q45" s="1">
        <f t="shared" si="20"/>
        <v>-56.92085974225369</v>
      </c>
      <c r="R45" s="1">
        <f t="shared" si="20"/>
        <v>-59.57003399683344</v>
      </c>
      <c r="S45" s="1">
        <f t="shared" si="20"/>
        <v>-61.06340362539958</v>
      </c>
      <c r="T45" s="1">
        <f t="shared" si="20"/>
        <v>-61.27911601422953</v>
      </c>
      <c r="U45" s="1">
        <f t="shared" si="20"/>
        <v>-60.20590931291289</v>
      </c>
      <c r="V45" s="1">
        <f t="shared" si="20"/>
        <v>-57.91608524798069</v>
      </c>
      <c r="W45" s="1">
        <f t="shared" si="21"/>
        <v>-54.68301181954982</v>
      </c>
      <c r="X45" s="1">
        <f t="shared" si="21"/>
        <v>-51.10767544186139</v>
      </c>
      <c r="Y45" s="1">
        <f t="shared" si="21"/>
        <v>-48.07323419971216</v>
      </c>
      <c r="Z45" s="1">
        <f t="shared" si="21"/>
        <v>-46.46694045690946</v>
      </c>
      <c r="AA45" s="1">
        <f t="shared" si="21"/>
        <v>-46.800588620608984</v>
      </c>
      <c r="AB45" s="1">
        <f t="shared" si="21"/>
        <v>-48.96568710903318</v>
      </c>
      <c r="AC45" s="1">
        <f t="shared" si="21"/>
        <v>-52.286590223471016</v>
      </c>
      <c r="AD45" s="1">
        <f t="shared" si="21"/>
        <v>-55.83570193811458</v>
      </c>
      <c r="AE45" s="1">
        <f t="shared" si="21"/>
        <v>-58.803601573660394</v>
      </c>
      <c r="AF45" s="1">
        <f t="shared" si="21"/>
        <v>-60.704969066582606</v>
      </c>
      <c r="AG45" s="1">
        <f t="shared" si="22"/>
        <v>-61.35111488073483</v>
      </c>
      <c r="AH45" s="1">
        <f t="shared" si="22"/>
        <v>-60.70496906658259</v>
      </c>
      <c r="AI45" s="1">
        <f t="shared" si="22"/>
        <v>-58.80360157366038</v>
      </c>
      <c r="AJ45" s="1">
        <f t="shared" si="22"/>
        <v>-55.83570193811455</v>
      </c>
      <c r="AK45" s="1">
        <f t="shared" si="22"/>
        <v>-52.286590223470974</v>
      </c>
      <c r="AL45" s="1">
        <f t="shared" si="22"/>
        <v>-48.965687109033155</v>
      </c>
      <c r="AM45" s="1">
        <f t="shared" si="22"/>
        <v>-46.80058862060897</v>
      </c>
      <c r="AN45" s="1">
        <f t="shared" si="22"/>
        <v>-46.46694045690947</v>
      </c>
      <c r="AO45" s="1">
        <f t="shared" si="22"/>
        <v>-48.07323419971219</v>
      </c>
      <c r="AP45" s="1">
        <f t="shared" si="22"/>
        <v>-51.10767544186142</v>
      </c>
      <c r="AQ45" s="1">
        <f t="shared" si="23"/>
        <v>-54.683011819549854</v>
      </c>
      <c r="AR45" s="1">
        <f t="shared" si="23"/>
        <v>-57.916085247980725</v>
      </c>
      <c r="AS45" s="1">
        <f t="shared" si="23"/>
        <v>-60.205909312912915</v>
      </c>
      <c r="AT45" s="1">
        <f t="shared" si="23"/>
        <v>-61.279116014229544</v>
      </c>
      <c r="AU45" s="1">
        <f t="shared" si="23"/>
        <v>-61.06340362539955</v>
      </c>
      <c r="AV45" s="1">
        <f t="shared" si="23"/>
        <v>-59.57003399683341</v>
      </c>
      <c r="AW45" s="1">
        <f t="shared" si="23"/>
        <v>-56.92085974225365</v>
      </c>
      <c r="AX45" s="1">
        <f t="shared" si="23"/>
        <v>-53.489683802479625</v>
      </c>
      <c r="AY45" s="1">
        <f t="shared" si="23"/>
        <v>-49.98869712544775</v>
      </c>
      <c r="AZ45" s="1">
        <f t="shared" si="23"/>
        <v>-47.34271245530853</v>
      </c>
      <c r="BA45" s="1">
        <f t="shared" si="24"/>
        <v>-46.354303691898785</v>
      </c>
      <c r="BB45" s="1">
        <f t="shared" si="24"/>
        <v>-47.34271245530861</v>
      </c>
      <c r="BC45" s="1">
        <f t="shared" si="24"/>
        <v>-49.98869712544784</v>
      </c>
      <c r="BD45" s="1">
        <f t="shared" si="24"/>
        <v>-53.48968380247966</v>
      </c>
      <c r="BE45" s="1">
        <f t="shared" si="24"/>
        <v>-56.92085974225372</v>
      </c>
      <c r="BF45" s="1">
        <f t="shared" si="24"/>
        <v>-59.57003399683344</v>
      </c>
      <c r="BG45" s="1">
        <f t="shared" si="24"/>
        <v>-61.063403625399566</v>
      </c>
      <c r="BH45" s="1">
        <f t="shared" si="24"/>
        <v>-61.279116014229544</v>
      </c>
      <c r="BI45" s="1">
        <f t="shared" si="24"/>
        <v>-60.205909312912915</v>
      </c>
      <c r="BJ45" s="1">
        <f t="shared" si="24"/>
        <v>-57.91608524798074</v>
      </c>
      <c r="BK45" s="1">
        <f t="shared" si="25"/>
        <v>-54.68301181954988</v>
      </c>
      <c r="BL45" s="1">
        <f t="shared" si="25"/>
        <v>-51.10767544186143</v>
      </c>
      <c r="BM45" s="1">
        <f t="shared" si="25"/>
        <v>-48.073234199712225</v>
      </c>
      <c r="BN45" s="1">
        <f t="shared" si="25"/>
        <v>-46.466940456909484</v>
      </c>
      <c r="BO45" s="1">
        <f t="shared" si="25"/>
        <v>-46.80058862060893</v>
      </c>
      <c r="BP45" s="1">
        <f t="shared" si="25"/>
        <v>-48.96568710903307</v>
      </c>
      <c r="BQ45" s="1">
        <f t="shared" si="25"/>
        <v>-52.28659022347088</v>
      </c>
      <c r="BR45" s="1">
        <f t="shared" si="25"/>
        <v>-55.83570193811444</v>
      </c>
      <c r="BS45" s="1">
        <f t="shared" si="25"/>
        <v>-58.80360157366026</v>
      </c>
      <c r="BT45" s="1">
        <f t="shared" si="25"/>
        <v>-60.70496906658254</v>
      </c>
      <c r="BU45" s="1">
        <f t="shared" si="26"/>
        <v>-61.35111488073483</v>
      </c>
      <c r="BV45" s="1">
        <f t="shared" si="26"/>
        <v>-60.704969066582684</v>
      </c>
      <c r="BW45" s="1">
        <f t="shared" si="26"/>
        <v>-58.80360157366053</v>
      </c>
      <c r="BX45" s="1">
        <f t="shared" si="26"/>
        <v>-55.83570193811481</v>
      </c>
      <c r="BY45" s="1">
        <f t="shared" si="26"/>
        <v>-52.28659022347125</v>
      </c>
      <c r="BZ45" s="1">
        <f t="shared" si="26"/>
        <v>-48.96568710903339</v>
      </c>
      <c r="CA45" s="1">
        <f t="shared" si="26"/>
        <v>-46.80058862060908</v>
      </c>
      <c r="CB45" s="1">
        <f t="shared" si="26"/>
        <v>-46.46694045690941</v>
      </c>
      <c r="CC45" s="1">
        <f t="shared" si="26"/>
        <v>-48.073234199711955</v>
      </c>
      <c r="CD45" s="1">
        <f t="shared" si="26"/>
        <v>-51.1076754418611</v>
      </c>
      <c r="CE45" s="1">
        <f t="shared" si="27"/>
        <v>-54.68301181954949</v>
      </c>
      <c r="CF45" s="1">
        <f t="shared" si="27"/>
        <v>-57.9160852479804</v>
      </c>
      <c r="CG45" s="1">
        <f t="shared" si="27"/>
        <v>-60.20590931291273</v>
      </c>
      <c r="CH45" s="1">
        <f t="shared" si="27"/>
        <v>-61.279116014229494</v>
      </c>
      <c r="CI45" s="1">
        <f t="shared" si="27"/>
        <v>-61.06340362539966</v>
      </c>
      <c r="CJ45" s="1">
        <f t="shared" si="27"/>
        <v>-59.570033996833665</v>
      </c>
      <c r="CK45" s="1">
        <f t="shared" si="27"/>
        <v>-56.92085974225406</v>
      </c>
      <c r="CL45" s="1">
        <f t="shared" si="27"/>
        <v>-53.489683802480116</v>
      </c>
      <c r="CM45" s="1">
        <f t="shared" si="27"/>
        <v>-49.98869712544819</v>
      </c>
      <c r="CN45" s="1">
        <f t="shared" si="27"/>
        <v>-47.34271245530879</v>
      </c>
      <c r="CO45" s="1">
        <f t="shared" si="27"/>
        <v>-46.354303691898785</v>
      </c>
    </row>
    <row r="46" spans="2:93" ht="12.75">
      <c r="B46">
        <f t="shared" si="18"/>
        <v>-0.9000000000000002</v>
      </c>
      <c r="C46">
        <f t="shared" si="19"/>
        <v>0.9000000000000002</v>
      </c>
      <c r="D46">
        <f t="shared" si="4"/>
        <v>0.03142653642653642</v>
      </c>
      <c r="E46">
        <f t="shared" si="5"/>
        <v>0.016701349945054966</v>
      </c>
      <c r="F46">
        <f t="shared" si="14"/>
        <v>0.004358326858326856</v>
      </c>
      <c r="G46">
        <f t="shared" si="15"/>
        <v>0.0012309202344299502</v>
      </c>
      <c r="H46">
        <f t="shared" si="16"/>
        <v>0.0014674912800127786</v>
      </c>
      <c r="I46">
        <f t="shared" si="17"/>
        <v>0.00022026256847504532</v>
      </c>
      <c r="J46" s="1">
        <f>0.000001*'deformation radiale'!J43</f>
        <v>2.378566607941728E-08</v>
      </c>
      <c r="M46" s="1">
        <f t="shared" si="20"/>
        <v>-31.92682876775964</v>
      </c>
      <c r="N46" s="1">
        <f t="shared" si="20"/>
        <v>-33.307904239798184</v>
      </c>
      <c r="O46" s="1">
        <f t="shared" si="20"/>
        <v>-36.96750577277625</v>
      </c>
      <c r="P46" s="1">
        <f t="shared" si="20"/>
        <v>-41.71069744724374</v>
      </c>
      <c r="Q46" s="1">
        <f t="shared" si="20"/>
        <v>-46.21916834000587</v>
      </c>
      <c r="R46" s="1">
        <f t="shared" si="20"/>
        <v>-49.573039425591226</v>
      </c>
      <c r="S46" s="1">
        <f t="shared" si="20"/>
        <v>-51.39952132987348</v>
      </c>
      <c r="T46" s="1">
        <f t="shared" si="20"/>
        <v>-51.658775590300955</v>
      </c>
      <c r="U46" s="1">
        <f t="shared" si="20"/>
        <v>-50.35719696187173</v>
      </c>
      <c r="V46" s="1">
        <f t="shared" si="20"/>
        <v>-47.494155572982315</v>
      </c>
      <c r="W46" s="1">
        <f t="shared" si="21"/>
        <v>-43.29656655124755</v>
      </c>
      <c r="X46" s="1">
        <f t="shared" si="21"/>
        <v>-38.49688108065647</v>
      </c>
      <c r="Y46" s="1">
        <f t="shared" si="21"/>
        <v>-34.3239364167199</v>
      </c>
      <c r="Z46" s="1">
        <f t="shared" si="21"/>
        <v>-32.08457058314235</v>
      </c>
      <c r="AA46" s="1">
        <f t="shared" si="21"/>
        <v>-32.55129314066744</v>
      </c>
      <c r="AB46" s="1">
        <f t="shared" si="21"/>
        <v>-35.55945586080245</v>
      </c>
      <c r="AC46" s="1">
        <f t="shared" si="21"/>
        <v>-40.095007762240556</v>
      </c>
      <c r="AD46" s="1">
        <f t="shared" si="21"/>
        <v>-44.8109469521003</v>
      </c>
      <c r="AE46" s="1">
        <f t="shared" si="21"/>
        <v>-48.61635142141948</v>
      </c>
      <c r="AF46" s="1">
        <f t="shared" si="21"/>
        <v>-50.96604967935041</v>
      </c>
      <c r="AG46" s="1">
        <f t="shared" si="22"/>
        <v>-51.74502870253263</v>
      </c>
      <c r="AH46" s="1">
        <f t="shared" si="22"/>
        <v>-50.96604967935039</v>
      </c>
      <c r="AI46" s="1">
        <f t="shared" si="22"/>
        <v>-48.61635142141946</v>
      </c>
      <c r="AJ46" s="1">
        <f t="shared" si="22"/>
        <v>-44.81094695210026</v>
      </c>
      <c r="AK46" s="1">
        <f t="shared" si="22"/>
        <v>-40.09500776224052</v>
      </c>
      <c r="AL46" s="1">
        <f t="shared" si="22"/>
        <v>-35.559455860802416</v>
      </c>
      <c r="AM46" s="1">
        <f t="shared" si="22"/>
        <v>-32.551293140667426</v>
      </c>
      <c r="AN46" s="1">
        <f t="shared" si="22"/>
        <v>-32.08457058314236</v>
      </c>
      <c r="AO46" s="1">
        <f t="shared" si="22"/>
        <v>-34.32393641671994</v>
      </c>
      <c r="AP46" s="1">
        <f t="shared" si="22"/>
        <v>-38.496881080656514</v>
      </c>
      <c r="AQ46" s="1">
        <f t="shared" si="23"/>
        <v>-43.29656655124758</v>
      </c>
      <c r="AR46" s="1">
        <f t="shared" si="23"/>
        <v>-47.494155572982365</v>
      </c>
      <c r="AS46" s="1">
        <f t="shared" si="23"/>
        <v>-50.35719696187176</v>
      </c>
      <c r="AT46" s="1">
        <f t="shared" si="23"/>
        <v>-51.658775590300955</v>
      </c>
      <c r="AU46" s="1">
        <f t="shared" si="23"/>
        <v>-51.399521329873465</v>
      </c>
      <c r="AV46" s="1">
        <f t="shared" si="23"/>
        <v>-49.57303942559119</v>
      </c>
      <c r="AW46" s="1">
        <f t="shared" si="23"/>
        <v>-46.21916834000582</v>
      </c>
      <c r="AX46" s="1">
        <f t="shared" si="23"/>
        <v>-41.71069744724369</v>
      </c>
      <c r="AY46" s="1">
        <f t="shared" si="23"/>
        <v>-36.96750577277617</v>
      </c>
      <c r="AZ46" s="1">
        <f t="shared" si="23"/>
        <v>-33.30790423979812</v>
      </c>
      <c r="BA46" s="1">
        <f t="shared" si="24"/>
        <v>-31.92682876775964</v>
      </c>
      <c r="BB46" s="1">
        <f t="shared" si="24"/>
        <v>-33.30790423979823</v>
      </c>
      <c r="BC46" s="1">
        <f t="shared" si="24"/>
        <v>-36.96750577277629</v>
      </c>
      <c r="BD46" s="1">
        <f t="shared" si="24"/>
        <v>-41.71069744724374</v>
      </c>
      <c r="BE46" s="1">
        <f t="shared" si="24"/>
        <v>-46.2191683400059</v>
      </c>
      <c r="BF46" s="1">
        <f t="shared" si="24"/>
        <v>-49.57303942559121</v>
      </c>
      <c r="BG46" s="1">
        <f t="shared" si="24"/>
        <v>-51.39952132987348</v>
      </c>
      <c r="BH46" s="1">
        <f t="shared" si="24"/>
        <v>-51.65877559030096</v>
      </c>
      <c r="BI46" s="1">
        <f t="shared" si="24"/>
        <v>-50.35719696187176</v>
      </c>
      <c r="BJ46" s="1">
        <f t="shared" si="24"/>
        <v>-47.494155572982365</v>
      </c>
      <c r="BK46" s="1">
        <f t="shared" si="25"/>
        <v>-43.29656655124764</v>
      </c>
      <c r="BL46" s="1">
        <f t="shared" si="25"/>
        <v>-38.49688108065653</v>
      </c>
      <c r="BM46" s="1">
        <f t="shared" si="25"/>
        <v>-34.32393641671999</v>
      </c>
      <c r="BN46" s="1">
        <f t="shared" si="25"/>
        <v>-32.08457058314239</v>
      </c>
      <c r="BO46" s="1">
        <f t="shared" si="25"/>
        <v>-32.551293140667376</v>
      </c>
      <c r="BP46" s="1">
        <f t="shared" si="25"/>
        <v>-35.5594558608023</v>
      </c>
      <c r="BQ46" s="1">
        <f t="shared" si="25"/>
        <v>-40.09500776224039</v>
      </c>
      <c r="BR46" s="1">
        <f t="shared" si="25"/>
        <v>-44.81094695210011</v>
      </c>
      <c r="BS46" s="1">
        <f t="shared" si="25"/>
        <v>-48.6163514214193</v>
      </c>
      <c r="BT46" s="1">
        <f t="shared" si="25"/>
        <v>-50.96604967935032</v>
      </c>
      <c r="BU46" s="1">
        <f t="shared" si="26"/>
        <v>-51.74502870253263</v>
      </c>
      <c r="BV46" s="1">
        <f t="shared" si="26"/>
        <v>-50.966049679350505</v>
      </c>
      <c r="BW46" s="1">
        <f t="shared" si="26"/>
        <v>-48.61635142141965</v>
      </c>
      <c r="BX46" s="1">
        <f t="shared" si="26"/>
        <v>-44.81094695210059</v>
      </c>
      <c r="BY46" s="1">
        <f t="shared" si="26"/>
        <v>-40.09500776224089</v>
      </c>
      <c r="BZ46" s="1">
        <f t="shared" si="26"/>
        <v>-35.559455860802736</v>
      </c>
      <c r="CA46" s="1">
        <f t="shared" si="26"/>
        <v>-32.551293140667596</v>
      </c>
      <c r="CB46" s="1">
        <f t="shared" si="26"/>
        <v>-32.08457058314228</v>
      </c>
      <c r="CC46" s="1">
        <f t="shared" si="26"/>
        <v>-34.32393641671961</v>
      </c>
      <c r="CD46" s="1">
        <f t="shared" si="26"/>
        <v>-38.49688108065609</v>
      </c>
      <c r="CE46" s="1">
        <f t="shared" si="27"/>
        <v>-43.296566551247125</v>
      </c>
      <c r="CF46" s="1">
        <f t="shared" si="27"/>
        <v>-47.494155572981946</v>
      </c>
      <c r="CG46" s="1">
        <f t="shared" si="27"/>
        <v>-50.35719696187153</v>
      </c>
      <c r="CH46" s="1">
        <f t="shared" si="27"/>
        <v>-51.658775590300905</v>
      </c>
      <c r="CI46" s="1">
        <f t="shared" si="27"/>
        <v>-51.399521329873586</v>
      </c>
      <c r="CJ46" s="1">
        <f t="shared" si="27"/>
        <v>-49.5730394255915</v>
      </c>
      <c r="CK46" s="1">
        <f t="shared" si="27"/>
        <v>-46.21916834000634</v>
      </c>
      <c r="CL46" s="1">
        <f t="shared" si="27"/>
        <v>-41.71069744724435</v>
      </c>
      <c r="CM46" s="1">
        <f t="shared" si="27"/>
        <v>-36.96750577277678</v>
      </c>
      <c r="CN46" s="1">
        <f t="shared" si="27"/>
        <v>-33.30790423979849</v>
      </c>
      <c r="CO46" s="1">
        <f t="shared" si="27"/>
        <v>-31.92682876775964</v>
      </c>
    </row>
    <row r="47" spans="2:93" ht="12.75">
      <c r="B47">
        <f t="shared" si="18"/>
        <v>-0.9500000000000003</v>
      </c>
      <c r="C47">
        <f t="shared" si="19"/>
        <v>0.9500000000000003</v>
      </c>
      <c r="D47">
        <f t="shared" si="4"/>
        <v>0.029224155474155467</v>
      </c>
      <c r="E47">
        <f t="shared" si="5"/>
        <v>0.021482439699415923</v>
      </c>
      <c r="F47">
        <f t="shared" si="14"/>
        <v>0.003765378140378137</v>
      </c>
      <c r="G47">
        <f t="shared" si="15"/>
        <v>0.0020346600620177145</v>
      </c>
      <c r="H47">
        <f t="shared" si="16"/>
        <v>0.0011970234437554683</v>
      </c>
      <c r="I47">
        <f t="shared" si="17"/>
        <v>0.00047547485138984066</v>
      </c>
      <c r="J47" s="1">
        <f>0.000001*'deformation radiale'!J44</f>
        <v>1.1923456723893564E-08</v>
      </c>
      <c r="M47" s="1">
        <f t="shared" si="20"/>
        <v>-16.599656469537436</v>
      </c>
      <c r="N47" s="1">
        <f t="shared" si="20"/>
        <v>-18.48648296999511</v>
      </c>
      <c r="O47" s="1">
        <f t="shared" si="20"/>
        <v>-23.433880841677666</v>
      </c>
      <c r="P47" s="1">
        <f t="shared" si="20"/>
        <v>-29.706842430360748</v>
      </c>
      <c r="Q47" s="1">
        <f t="shared" si="20"/>
        <v>-35.46791359390333</v>
      </c>
      <c r="R47" s="1">
        <f t="shared" si="20"/>
        <v>-39.56524162837444</v>
      </c>
      <c r="S47" s="1">
        <f t="shared" si="20"/>
        <v>-41.69793530138189</v>
      </c>
      <c r="T47" s="1">
        <f t="shared" si="20"/>
        <v>-41.993368036043336</v>
      </c>
      <c r="U47" s="1">
        <f t="shared" si="20"/>
        <v>-40.49112498821453</v>
      </c>
      <c r="V47" s="1">
        <f t="shared" si="20"/>
        <v>-37.04864517271476</v>
      </c>
      <c r="W47" s="1">
        <f t="shared" si="21"/>
        <v>-31.759804796840587</v>
      </c>
      <c r="X47" s="1">
        <f t="shared" si="21"/>
        <v>-25.475723979137154</v>
      </c>
      <c r="Y47" s="1">
        <f t="shared" si="21"/>
        <v>-19.868028413423552</v>
      </c>
      <c r="Z47" s="1">
        <f t="shared" si="21"/>
        <v>-16.815662035409865</v>
      </c>
      <c r="AA47" s="1">
        <f t="shared" si="21"/>
        <v>-17.454031254850793</v>
      </c>
      <c r="AB47" s="1">
        <f t="shared" si="21"/>
        <v>-21.53999427449594</v>
      </c>
      <c r="AC47" s="1">
        <f t="shared" si="21"/>
        <v>-27.590591655604737</v>
      </c>
      <c r="AD47" s="1">
        <f t="shared" si="21"/>
        <v>-33.6945993039268</v>
      </c>
      <c r="AE47" s="1">
        <f t="shared" si="21"/>
        <v>-38.41743756242501</v>
      </c>
      <c r="AF47" s="1">
        <f t="shared" si="21"/>
        <v>-41.199619683893744</v>
      </c>
      <c r="AG47" s="1">
        <f t="shared" si="22"/>
        <v>-42.09120574252216</v>
      </c>
      <c r="AH47" s="1">
        <f t="shared" si="22"/>
        <v>-41.19961968389373</v>
      </c>
      <c r="AI47" s="1">
        <f t="shared" si="22"/>
        <v>-38.417437562424986</v>
      </c>
      <c r="AJ47" s="1">
        <f t="shared" si="22"/>
        <v>-33.69459930392674</v>
      </c>
      <c r="AK47" s="1">
        <f t="shared" si="22"/>
        <v>-27.590591655604676</v>
      </c>
      <c r="AL47" s="1">
        <f t="shared" si="22"/>
        <v>-21.539994274495886</v>
      </c>
      <c r="AM47" s="1">
        <f t="shared" si="22"/>
        <v>-17.454031254850765</v>
      </c>
      <c r="AN47" s="1">
        <f t="shared" si="22"/>
        <v>-16.815662035409876</v>
      </c>
      <c r="AO47" s="1">
        <f t="shared" si="22"/>
        <v>-19.8680284134236</v>
      </c>
      <c r="AP47" s="1">
        <f t="shared" si="22"/>
        <v>-25.475723979137207</v>
      </c>
      <c r="AQ47" s="1">
        <f t="shared" si="23"/>
        <v>-31.759804796840637</v>
      </c>
      <c r="AR47" s="1">
        <f t="shared" si="23"/>
        <v>-37.04864517271482</v>
      </c>
      <c r="AS47" s="1">
        <f t="shared" si="23"/>
        <v>-40.49112498821456</v>
      </c>
      <c r="AT47" s="1">
        <f t="shared" si="23"/>
        <v>-41.993368036043336</v>
      </c>
      <c r="AU47" s="1">
        <f t="shared" si="23"/>
        <v>-41.697935301381875</v>
      </c>
      <c r="AV47" s="1">
        <f t="shared" si="23"/>
        <v>-39.56524162837438</v>
      </c>
      <c r="AW47" s="1">
        <f t="shared" si="23"/>
        <v>-35.46791359390326</v>
      </c>
      <c r="AX47" s="1">
        <f t="shared" si="23"/>
        <v>-29.70684243036067</v>
      </c>
      <c r="AY47" s="1">
        <f t="shared" si="23"/>
        <v>-23.43388084167756</v>
      </c>
      <c r="AZ47" s="1">
        <f t="shared" si="23"/>
        <v>-18.486482969995023</v>
      </c>
      <c r="BA47" s="1">
        <f t="shared" si="24"/>
        <v>-16.599656469537436</v>
      </c>
      <c r="BB47" s="1">
        <f t="shared" si="24"/>
        <v>-18.486482969995176</v>
      </c>
      <c r="BC47" s="1">
        <f t="shared" si="24"/>
        <v>-23.433880841677723</v>
      </c>
      <c r="BD47" s="1">
        <f t="shared" si="24"/>
        <v>-29.706842430360744</v>
      </c>
      <c r="BE47" s="1">
        <f t="shared" si="24"/>
        <v>-35.467913593903354</v>
      </c>
      <c r="BF47" s="1">
        <f t="shared" si="24"/>
        <v>-39.56524162837442</v>
      </c>
      <c r="BG47" s="1">
        <f t="shared" si="24"/>
        <v>-41.69793530138189</v>
      </c>
      <c r="BH47" s="1">
        <f t="shared" si="24"/>
        <v>-41.993368036043336</v>
      </c>
      <c r="BI47" s="1">
        <f t="shared" si="24"/>
        <v>-40.491124988214565</v>
      </c>
      <c r="BJ47" s="1">
        <f t="shared" si="24"/>
        <v>-37.048645172714835</v>
      </c>
      <c r="BK47" s="1">
        <f t="shared" si="25"/>
        <v>-31.75980479684069</v>
      </c>
      <c r="BL47" s="1">
        <f t="shared" si="25"/>
        <v>-25.475723979137236</v>
      </c>
      <c r="BM47" s="1">
        <f t="shared" si="25"/>
        <v>-19.868028413423666</v>
      </c>
      <c r="BN47" s="1">
        <f t="shared" si="25"/>
        <v>-16.815662035409908</v>
      </c>
      <c r="BO47" s="1">
        <f t="shared" si="25"/>
        <v>-17.454031254850698</v>
      </c>
      <c r="BP47" s="1">
        <f t="shared" si="25"/>
        <v>-21.53999427449573</v>
      </c>
      <c r="BQ47" s="1">
        <f t="shared" si="25"/>
        <v>-27.590591655604513</v>
      </c>
      <c r="BR47" s="1">
        <f t="shared" si="25"/>
        <v>-33.694599303926566</v>
      </c>
      <c r="BS47" s="1">
        <f t="shared" si="25"/>
        <v>-38.417437562424794</v>
      </c>
      <c r="BT47" s="1">
        <f t="shared" si="25"/>
        <v>-41.19961968389364</v>
      </c>
      <c r="BU47" s="1">
        <f t="shared" si="26"/>
        <v>-42.09120574252216</v>
      </c>
      <c r="BV47" s="1">
        <f t="shared" si="26"/>
        <v>-41.19961968389385</v>
      </c>
      <c r="BW47" s="1">
        <f t="shared" si="26"/>
        <v>-38.41743756242522</v>
      </c>
      <c r="BX47" s="1">
        <f t="shared" si="26"/>
        <v>-33.69459930392718</v>
      </c>
      <c r="BY47" s="1">
        <f t="shared" si="26"/>
        <v>-27.590591655605166</v>
      </c>
      <c r="BZ47" s="1">
        <f t="shared" si="26"/>
        <v>-21.539994274496323</v>
      </c>
      <c r="CA47" s="1">
        <f t="shared" si="26"/>
        <v>-17.454031254850996</v>
      </c>
      <c r="CB47" s="1">
        <f t="shared" si="26"/>
        <v>-16.815662035409765</v>
      </c>
      <c r="CC47" s="1">
        <f t="shared" si="26"/>
        <v>-19.868028413423154</v>
      </c>
      <c r="CD47" s="1">
        <f t="shared" si="26"/>
        <v>-25.475723979136635</v>
      </c>
      <c r="CE47" s="1">
        <f t="shared" si="27"/>
        <v>-31.75980479684003</v>
      </c>
      <c r="CF47" s="1">
        <f t="shared" si="27"/>
        <v>-37.048645172714316</v>
      </c>
      <c r="CG47" s="1">
        <f t="shared" si="27"/>
        <v>-40.491124988214295</v>
      </c>
      <c r="CH47" s="1">
        <f t="shared" si="27"/>
        <v>-41.99336803604327</v>
      </c>
      <c r="CI47" s="1">
        <f t="shared" si="27"/>
        <v>-41.69793530138201</v>
      </c>
      <c r="CJ47" s="1">
        <f t="shared" si="27"/>
        <v>-39.565241628374764</v>
      </c>
      <c r="CK47" s="1">
        <f t="shared" si="27"/>
        <v>-35.467913593903916</v>
      </c>
      <c r="CL47" s="1">
        <f t="shared" si="27"/>
        <v>-29.70684243036153</v>
      </c>
      <c r="CM47" s="1">
        <f t="shared" si="27"/>
        <v>-23.433880841678377</v>
      </c>
      <c r="CN47" s="1">
        <f t="shared" si="27"/>
        <v>-18.486482969995524</v>
      </c>
      <c r="CO47" s="1">
        <f t="shared" si="27"/>
        <v>-16.599656469537436</v>
      </c>
    </row>
    <row r="48" spans="2:93" ht="12.75">
      <c r="B48">
        <f t="shared" si="18"/>
        <v>-1.0000000000000002</v>
      </c>
      <c r="C48">
        <f t="shared" si="19"/>
        <v>1.0000000000000002</v>
      </c>
      <c r="D48">
        <f t="shared" si="4"/>
        <v>0.0269027269027269</v>
      </c>
      <c r="E48">
        <f t="shared" si="5"/>
        <v>0.026902726902726933</v>
      </c>
      <c r="F48">
        <f t="shared" si="14"/>
        <v>0.003140378140378137</v>
      </c>
      <c r="G48">
        <f t="shared" si="15"/>
        <v>0.0031403781403781454</v>
      </c>
      <c r="H48">
        <f t="shared" si="16"/>
        <v>0.000911935724457223</v>
      </c>
      <c r="I48">
        <f t="shared" si="17"/>
        <v>0.0009119357244572266</v>
      </c>
      <c r="J48" s="1">
        <f>0.000001*'deformation radiale'!J45</f>
        <v>7.890190165911904E-23</v>
      </c>
      <c r="M48" s="1">
        <f t="shared" si="20"/>
        <v>-0.5452897668802547</v>
      </c>
      <c r="N48" s="1">
        <f t="shared" si="20"/>
        <v>-3.053057644227812</v>
      </c>
      <c r="O48" s="1">
        <f t="shared" si="20"/>
        <v>-9.5639238948344</v>
      </c>
      <c r="P48" s="1">
        <f t="shared" si="20"/>
        <v>-17.64527456797518</v>
      </c>
      <c r="Q48" s="1">
        <f t="shared" si="20"/>
        <v>-24.81001643685438</v>
      </c>
      <c r="R48" s="1">
        <f t="shared" si="20"/>
        <v>-29.656824977410142</v>
      </c>
      <c r="S48" s="1">
        <f t="shared" si="20"/>
        <v>-32.043297428131254</v>
      </c>
      <c r="T48" s="1">
        <f t="shared" si="20"/>
        <v>-32.36335219169826</v>
      </c>
      <c r="U48" s="1">
        <f t="shared" si="20"/>
        <v>-30.707717220951356</v>
      </c>
      <c r="V48" s="1">
        <f t="shared" si="20"/>
        <v>-26.711835107605364</v>
      </c>
      <c r="W48" s="1">
        <f t="shared" si="21"/>
        <v>-20.233425948266163</v>
      </c>
      <c r="X48" s="1">
        <f t="shared" si="21"/>
        <v>-12.218921700471999</v>
      </c>
      <c r="Y48" s="1">
        <f t="shared" si="21"/>
        <v>-4.881156420445561</v>
      </c>
      <c r="Z48" s="1">
        <f t="shared" si="21"/>
        <v>-0.8329972576351838</v>
      </c>
      <c r="AA48" s="1">
        <f t="shared" si="21"/>
        <v>-1.6823543161868544</v>
      </c>
      <c r="AB48" s="1">
        <f t="shared" si="21"/>
        <v>-7.08358312496454</v>
      </c>
      <c r="AC48" s="1">
        <f t="shared" si="21"/>
        <v>-14.945148023576888</v>
      </c>
      <c r="AD48" s="1">
        <f t="shared" si="21"/>
        <v>-22.639192187440745</v>
      </c>
      <c r="AE48" s="1">
        <f t="shared" si="21"/>
        <v>-28.328018668518055</v>
      </c>
      <c r="AF48" s="1">
        <f t="shared" si="21"/>
        <v>-31.49700175244422</v>
      </c>
      <c r="AG48" s="1">
        <f t="shared" si="22"/>
        <v>-32.4686745413368</v>
      </c>
      <c r="AH48" s="1">
        <f t="shared" si="22"/>
        <v>-31.4970017524442</v>
      </c>
      <c r="AI48" s="1">
        <f t="shared" si="22"/>
        <v>-28.328018668518027</v>
      </c>
      <c r="AJ48" s="1">
        <f t="shared" si="22"/>
        <v>-22.639192187440678</v>
      </c>
      <c r="AK48" s="1">
        <f t="shared" si="22"/>
        <v>-14.945148023576808</v>
      </c>
      <c r="AL48" s="1">
        <f t="shared" si="22"/>
        <v>-7.0835831249644725</v>
      </c>
      <c r="AM48" s="1">
        <f t="shared" si="22"/>
        <v>-1.682354316186822</v>
      </c>
      <c r="AN48" s="1">
        <f t="shared" si="22"/>
        <v>-0.8329972576351964</v>
      </c>
      <c r="AO48" s="1">
        <f t="shared" si="22"/>
        <v>-4.8811564204456195</v>
      </c>
      <c r="AP48" s="1">
        <f t="shared" si="22"/>
        <v>-12.218921700472078</v>
      </c>
      <c r="AQ48" s="1">
        <f t="shared" si="23"/>
        <v>-20.233425948266227</v>
      </c>
      <c r="AR48" s="1">
        <f t="shared" si="23"/>
        <v>-26.71183510760543</v>
      </c>
      <c r="AS48" s="1">
        <f t="shared" si="23"/>
        <v>-30.707717220951395</v>
      </c>
      <c r="AT48" s="1">
        <f t="shared" si="23"/>
        <v>-32.36335219169827</v>
      </c>
      <c r="AU48" s="1">
        <f t="shared" si="23"/>
        <v>-32.043297428131226</v>
      </c>
      <c r="AV48" s="1">
        <f t="shared" si="23"/>
        <v>-29.65682497741009</v>
      </c>
      <c r="AW48" s="1">
        <f t="shared" si="23"/>
        <v>-24.8100164368543</v>
      </c>
      <c r="AX48" s="1">
        <f t="shared" si="23"/>
        <v>-17.645274567975083</v>
      </c>
      <c r="AY48" s="1">
        <f t="shared" si="23"/>
        <v>-9.563923894834263</v>
      </c>
      <c r="AZ48" s="1">
        <f t="shared" si="23"/>
        <v>-3.0530576442277013</v>
      </c>
      <c r="BA48" s="1">
        <f t="shared" si="24"/>
        <v>-0.5452897668802547</v>
      </c>
      <c r="BB48" s="1">
        <f t="shared" si="24"/>
        <v>-3.053057644227905</v>
      </c>
      <c r="BC48" s="1">
        <f t="shared" si="24"/>
        <v>-9.563923894834474</v>
      </c>
      <c r="BD48" s="1">
        <f t="shared" si="24"/>
        <v>-17.64527456797518</v>
      </c>
      <c r="BE48" s="1">
        <f t="shared" si="24"/>
        <v>-24.810016436854422</v>
      </c>
      <c r="BF48" s="1">
        <f t="shared" si="24"/>
        <v>-29.656824977410135</v>
      </c>
      <c r="BG48" s="1">
        <f t="shared" si="24"/>
        <v>-32.04329742813125</v>
      </c>
      <c r="BH48" s="1">
        <f t="shared" si="24"/>
        <v>-32.36335219169826</v>
      </c>
      <c r="BI48" s="1">
        <f t="shared" si="24"/>
        <v>-30.7077172209514</v>
      </c>
      <c r="BJ48" s="1">
        <f t="shared" si="24"/>
        <v>-26.71183510760545</v>
      </c>
      <c r="BK48" s="1">
        <f t="shared" si="25"/>
        <v>-20.2334259482663</v>
      </c>
      <c r="BL48" s="1">
        <f t="shared" si="25"/>
        <v>-12.218921700472103</v>
      </c>
      <c r="BM48" s="1">
        <f t="shared" si="25"/>
        <v>-4.881156420445708</v>
      </c>
      <c r="BN48" s="1">
        <f t="shared" si="25"/>
        <v>-0.8329972576352412</v>
      </c>
      <c r="BO48" s="1">
        <f t="shared" si="25"/>
        <v>-1.6823543161867334</v>
      </c>
      <c r="BP48" s="1">
        <f t="shared" si="25"/>
        <v>-7.083583124964264</v>
      </c>
      <c r="BQ48" s="1">
        <f t="shared" si="25"/>
        <v>-14.945148023576596</v>
      </c>
      <c r="BR48" s="1">
        <f t="shared" si="25"/>
        <v>-22.639192187440443</v>
      </c>
      <c r="BS48" s="1">
        <f t="shared" si="25"/>
        <v>-28.328018668517817</v>
      </c>
      <c r="BT48" s="1">
        <f t="shared" si="25"/>
        <v>-31.4970017524441</v>
      </c>
      <c r="BU48" s="1">
        <f t="shared" si="26"/>
        <v>-32.4686745413368</v>
      </c>
      <c r="BV48" s="1">
        <f t="shared" si="26"/>
        <v>-31.49700175244434</v>
      </c>
      <c r="BW48" s="1">
        <f t="shared" si="26"/>
        <v>-28.328018668518297</v>
      </c>
      <c r="BX48" s="1">
        <f t="shared" si="26"/>
        <v>-22.639192187441207</v>
      </c>
      <c r="BY48" s="1">
        <f t="shared" si="26"/>
        <v>-14.945148023577437</v>
      </c>
      <c r="BZ48" s="1">
        <f t="shared" si="26"/>
        <v>-7.083583124965042</v>
      </c>
      <c r="CA48" s="1">
        <f t="shared" si="26"/>
        <v>-1.6823543161871308</v>
      </c>
      <c r="CB48" s="1">
        <f t="shared" si="26"/>
        <v>-0.8329972576350518</v>
      </c>
      <c r="CC48" s="1">
        <f t="shared" si="26"/>
        <v>-4.881156420445036</v>
      </c>
      <c r="CD48" s="1">
        <f t="shared" si="26"/>
        <v>-12.21892170047133</v>
      </c>
      <c r="CE48" s="1">
        <f t="shared" si="27"/>
        <v>-20.233425948265474</v>
      </c>
      <c r="CF48" s="1">
        <f t="shared" si="27"/>
        <v>-26.711835107604827</v>
      </c>
      <c r="CG48" s="1">
        <f t="shared" si="27"/>
        <v>-30.707717220951096</v>
      </c>
      <c r="CH48" s="1">
        <f t="shared" si="27"/>
        <v>-32.3633521916982</v>
      </c>
      <c r="CI48" s="1">
        <f t="shared" si="27"/>
        <v>-32.043297428131375</v>
      </c>
      <c r="CJ48" s="1">
        <f t="shared" si="27"/>
        <v>-29.656824977410526</v>
      </c>
      <c r="CK48" s="1">
        <f t="shared" si="27"/>
        <v>-24.810016436855094</v>
      </c>
      <c r="CL48" s="1">
        <f t="shared" si="27"/>
        <v>-17.645274567976177</v>
      </c>
      <c r="CM48" s="1">
        <f t="shared" si="27"/>
        <v>-9.563923894835328</v>
      </c>
      <c r="CN48" s="1">
        <f t="shared" si="27"/>
        <v>-3.0530576442283657</v>
      </c>
      <c r="CO48" s="1">
        <f t="shared" si="27"/>
        <v>-0.5452897668802547</v>
      </c>
    </row>
    <row r="57" spans="24:25" ht="12.75">
      <c r="X57">
        <f>18/550</f>
        <v>0.03272727272727273</v>
      </c>
      <c r="Y57">
        <f>1/X57</f>
        <v>30.555555555555554</v>
      </c>
    </row>
    <row r="71" spans="13:17" ht="12.75">
      <c r="M71" s="3" t="s">
        <v>14</v>
      </c>
      <c r="N71" s="3" t="s">
        <v>135</v>
      </c>
      <c r="O71" s="3" t="s">
        <v>132</v>
      </c>
      <c r="Q71" s="3" t="s">
        <v>137</v>
      </c>
    </row>
    <row r="72" spans="13:17" ht="12.75">
      <c r="M72" s="3">
        <v>2870</v>
      </c>
      <c r="N72" s="3">
        <v>111</v>
      </c>
      <c r="O72" s="3">
        <v>106</v>
      </c>
      <c r="P72" t="s">
        <v>133</v>
      </c>
      <c r="Q72" s="3">
        <v>42</v>
      </c>
    </row>
    <row r="73" spans="13:17" ht="12.75">
      <c r="M73" s="3">
        <v>2870</v>
      </c>
      <c r="N73" s="3">
        <v>15</v>
      </c>
      <c r="O73" s="3">
        <v>11</v>
      </c>
      <c r="P73" t="s">
        <v>134</v>
      </c>
      <c r="Q73" s="3">
        <v>42</v>
      </c>
    </row>
    <row r="74" spans="13:17" ht="12.75">
      <c r="M74" s="3">
        <v>12656</v>
      </c>
      <c r="N74" s="3">
        <v>34</v>
      </c>
      <c r="O74" s="3">
        <v>33</v>
      </c>
      <c r="P74" t="s">
        <v>136</v>
      </c>
      <c r="Q74" s="3">
        <v>20</v>
      </c>
    </row>
  </sheetData>
  <printOptions/>
  <pageMargins left="0.75" right="0.75" top="1" bottom="1" header="0.4921259845" footer="0.4921259845"/>
  <pageSetup orientation="portrait" paperSize="9"/>
  <drawing r:id="rId5"/>
  <legacyDrawing r:id="rId4"/>
  <oleObjects>
    <oleObject progId="Equation.3" shapeId="24064775" r:id="rId1"/>
    <oleObject progId="Equation.3" shapeId="2557857" r:id="rId2"/>
    <oleObject progId="Equation.3" shapeId="2560479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G46"/>
  <sheetViews>
    <sheetView zoomScalePageLayoutView="0" workbookViewId="0" topLeftCell="A16">
      <selection activeCell="F31" sqref="F31"/>
    </sheetView>
  </sheetViews>
  <sheetFormatPr defaultColWidth="11.421875" defaultRowHeight="12.75"/>
  <cols>
    <col min="1" max="1" width="27.8515625" style="0" customWidth="1"/>
    <col min="6" max="6" width="12.28125" style="0" bestFit="1" customWidth="1"/>
  </cols>
  <sheetData>
    <row r="3" ht="17.25">
      <c r="A3" s="29" t="s">
        <v>80</v>
      </c>
    </row>
    <row r="5" spans="1:7" ht="12.75">
      <c r="A5" s="3" t="s">
        <v>46</v>
      </c>
      <c r="B5" s="3">
        <v>8.81</v>
      </c>
      <c r="E5">
        <f>'optimisaton barillet '!H32</f>
        <v>0</v>
      </c>
      <c r="G5" s="5" t="s">
        <v>84</v>
      </c>
    </row>
    <row r="6" spans="1:7" ht="12.75">
      <c r="A6" s="3" t="s">
        <v>47</v>
      </c>
      <c r="B6" s="3">
        <v>8.01</v>
      </c>
      <c r="E6">
        <f>'optimisaton barillet '!H33</f>
        <v>392.2659959773109</v>
      </c>
      <c r="G6" s="5" t="s">
        <v>85</v>
      </c>
    </row>
    <row r="7" spans="1:7" ht="12.75">
      <c r="A7" s="3" t="s">
        <v>48</v>
      </c>
      <c r="B7" s="3">
        <v>2.7</v>
      </c>
      <c r="E7">
        <f>'optimisaton barillet '!H34</f>
        <v>380.72876080150763</v>
      </c>
      <c r="G7" s="5" t="s">
        <v>86</v>
      </c>
    </row>
    <row r="8" spans="1:2" ht="12.75">
      <c r="A8" s="3"/>
      <c r="B8" s="3"/>
    </row>
    <row r="9" spans="1:3" ht="12.75">
      <c r="A9" s="8" t="s">
        <v>81</v>
      </c>
      <c r="B9" s="30">
        <v>1.5</v>
      </c>
      <c r="C9" s="5" t="s">
        <v>8</v>
      </c>
    </row>
    <row r="10" spans="1:3" ht="12.75">
      <c r="A10" s="5" t="s">
        <v>56</v>
      </c>
      <c r="B10" s="30">
        <v>3</v>
      </c>
      <c r="C10" s="5" t="s">
        <v>8</v>
      </c>
    </row>
    <row r="11" spans="1:3" ht="12.75">
      <c r="A11" s="5" t="s">
        <v>57</v>
      </c>
      <c r="B11" s="30">
        <v>4.6</v>
      </c>
      <c r="C11" s="5" t="s">
        <v>8</v>
      </c>
    </row>
    <row r="12" spans="1:3" ht="12.75">
      <c r="A12" t="s">
        <v>52</v>
      </c>
      <c r="B12" s="30">
        <v>1.7</v>
      </c>
      <c r="C12" t="s">
        <v>8</v>
      </c>
    </row>
    <row r="14" spans="1:2" ht="12.75">
      <c r="A14" t="s">
        <v>49</v>
      </c>
      <c r="B14">
        <f>(2*1.5*8-PI()*0.45*0.45*2.5)*B7</f>
        <v>60.50583554162445</v>
      </c>
    </row>
    <row r="15" spans="1:2" ht="12.75">
      <c r="A15" s="5" t="s">
        <v>87</v>
      </c>
      <c r="B15">
        <f>PI()*0.45*0.45*10*B6</f>
        <v>50.957418239389845</v>
      </c>
    </row>
    <row r="16" spans="1:3" ht="12.75">
      <c r="A16" s="5" t="s">
        <v>88</v>
      </c>
      <c r="B16">
        <f>PI()*0.45*0.45*12.5*B6</f>
        <v>63.69677279923731</v>
      </c>
      <c r="C16" s="5" t="s">
        <v>6</v>
      </c>
    </row>
    <row r="17" spans="1:3" ht="12.75">
      <c r="A17" s="5" t="s">
        <v>82</v>
      </c>
      <c r="B17">
        <f>PI()*B9*B9*B10*B5-PI()*0.45*0.45*B10*B5</f>
        <v>170.00862162588942</v>
      </c>
      <c r="C17" s="5" t="s">
        <v>6</v>
      </c>
    </row>
    <row r="18" spans="1:3" ht="12.75">
      <c r="A18" s="5" t="s">
        <v>83</v>
      </c>
      <c r="B18">
        <f>PI()*B9*B9*B11*B5-PI()*0.45*0.45*B11*B5</f>
        <v>260.67988649303044</v>
      </c>
      <c r="C18" s="5" t="s">
        <v>6</v>
      </c>
    </row>
    <row r="20" spans="1:3" ht="12.75">
      <c r="A20" t="s">
        <v>50</v>
      </c>
      <c r="B20">
        <f>1.5*B14+8*B15</f>
        <v>498.41809922755544</v>
      </c>
      <c r="C20">
        <f>B20/B12</f>
        <v>293.1871171926797</v>
      </c>
    </row>
    <row r="21" spans="1:3" ht="12.75">
      <c r="A21" t="s">
        <v>51</v>
      </c>
      <c r="B21">
        <f>1.5*B14+9.25*B16</f>
        <v>679.9539017053819</v>
      </c>
      <c r="C21">
        <f>B21/B12</f>
        <v>399.972883356107</v>
      </c>
    </row>
    <row r="23" spans="1:2" ht="24" customHeight="1">
      <c r="A23" s="6" t="s">
        <v>55</v>
      </c>
      <c r="B23" s="30">
        <v>10.6</v>
      </c>
    </row>
    <row r="24" spans="1:2" ht="12.75">
      <c r="A24" s="6" t="s">
        <v>58</v>
      </c>
      <c r="B24">
        <f>B23-B10/2</f>
        <v>9.1</v>
      </c>
    </row>
    <row r="25" spans="1:5" ht="12.75">
      <c r="A25" s="5" t="s">
        <v>53</v>
      </c>
      <c r="B25">
        <f>B23*B17/B12+C20</f>
        <v>1353.2408755658726</v>
      </c>
      <c r="C25" s="5" t="s">
        <v>6</v>
      </c>
      <c r="E25">
        <f>E7</f>
        <v>380.72876080150763</v>
      </c>
    </row>
    <row r="26" spans="1:3" ht="25.5" customHeight="1">
      <c r="A26" s="5"/>
      <c r="C26" s="5"/>
    </row>
    <row r="27" spans="1:2" ht="25.5" customHeight="1">
      <c r="A27" s="6" t="s">
        <v>54</v>
      </c>
      <c r="B27" s="30">
        <v>10.7</v>
      </c>
    </row>
    <row r="28" spans="1:2" ht="12.75">
      <c r="A28" s="6" t="s">
        <v>58</v>
      </c>
      <c r="B28">
        <f>B27-B11/2</f>
        <v>8.399999999999999</v>
      </c>
    </row>
    <row r="29" spans="1:5" ht="12.75">
      <c r="A29" s="5" t="s">
        <v>53</v>
      </c>
      <c r="B29">
        <f>B27*B18/B12+C21</f>
        <v>2040.722757165181</v>
      </c>
      <c r="C29" s="5" t="s">
        <v>6</v>
      </c>
      <c r="E29">
        <f>E5</f>
        <v>0</v>
      </c>
    </row>
    <row r="30" ht="12.75">
      <c r="B30" s="5"/>
    </row>
    <row r="32" spans="5:7" ht="12.75">
      <c r="E32">
        <v>20000</v>
      </c>
      <c r="F32">
        <f>PI()/180/3600</f>
        <v>4.84813681109536E-06</v>
      </c>
      <c r="G32">
        <f>F32*E32</f>
        <v>0.0969627362219072</v>
      </c>
    </row>
    <row r="46" ht="12.75">
      <c r="B46" s="5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dijon</dc:creator>
  <cp:keywords/>
  <dc:description/>
  <cp:lastModifiedBy>Jean</cp:lastModifiedBy>
  <dcterms:created xsi:type="dcterms:W3CDTF">2008-05-18T10:53:59Z</dcterms:created>
  <dcterms:modified xsi:type="dcterms:W3CDTF">2021-02-06T10:07:52Z</dcterms:modified>
  <cp:category/>
  <cp:version/>
  <cp:contentType/>
  <cp:contentStatus/>
</cp:coreProperties>
</file>