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1112" windowHeight="6984" activeTab="0"/>
  </bookViews>
  <sheets>
    <sheet name="Telescope 1" sheetId="1" r:id="rId1"/>
    <sheet name="Telescope 2" sheetId="2" r:id="rId2"/>
    <sheet name="Feuil1" sheetId="3" r:id="rId3"/>
    <sheet name="Feuil3" sheetId="4" r:id="rId4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<sst xmlns="http://schemas.openxmlformats.org/spreadsheetml/2006/main" count="184" uniqueCount="95">
  <si>
    <t>telescope</t>
  </si>
  <si>
    <t>diametre du miroir primaire</t>
  </si>
  <si>
    <t>cm</t>
  </si>
  <si>
    <t>diametre du miroir secondaire</t>
  </si>
  <si>
    <t>coef de reflexion du primaire</t>
  </si>
  <si>
    <t>coef de reflexion du secondaire</t>
  </si>
  <si>
    <t>focale du telescope</t>
  </si>
  <si>
    <t>mm</t>
  </si>
  <si>
    <t>seconde d'arc</t>
  </si>
  <si>
    <t>rapport F/D</t>
  </si>
  <si>
    <t>diametre etoile</t>
  </si>
  <si>
    <t>surface equivalente telescope</t>
  </si>
  <si>
    <t>cm2</t>
  </si>
  <si>
    <t>flux etoile mag0</t>
  </si>
  <si>
    <t>e/s</t>
  </si>
  <si>
    <t xml:space="preserve">bruit de lecture </t>
  </si>
  <si>
    <t>electrons</t>
  </si>
  <si>
    <t>courant noir</t>
  </si>
  <si>
    <t>electrons s-1</t>
  </si>
  <si>
    <t>rendement quantique</t>
  </si>
  <si>
    <t>taille des pixels</t>
  </si>
  <si>
    <t>µm</t>
  </si>
  <si>
    <t>nombre d'images dans le dark</t>
  </si>
  <si>
    <t>nombre d'images dans la pose</t>
  </si>
  <si>
    <t>sigma</t>
  </si>
  <si>
    <t>sec</t>
  </si>
  <si>
    <t>largeur des pixels en sec arc</t>
  </si>
  <si>
    <t>surface pixel</t>
  </si>
  <si>
    <t>sec2</t>
  </si>
  <si>
    <t>Site</t>
  </si>
  <si>
    <t>magnitude fond de ciel</t>
  </si>
  <si>
    <t>mag sec-2</t>
  </si>
  <si>
    <t>flux etoile mag0/cm2</t>
  </si>
  <si>
    <t>altitude</t>
  </si>
  <si>
    <t>xp/2/sigma</t>
  </si>
  <si>
    <t>metres</t>
  </si>
  <si>
    <t>pose</t>
  </si>
  <si>
    <t>1s</t>
  </si>
  <si>
    <t>10s</t>
  </si>
  <si>
    <t>1min</t>
  </si>
  <si>
    <t>1h</t>
  </si>
  <si>
    <t>5h</t>
  </si>
  <si>
    <t>magnitude</t>
  </si>
  <si>
    <t>lambda</t>
  </si>
  <si>
    <t>N</t>
  </si>
  <si>
    <t>Transmission Atmosphère</t>
  </si>
  <si>
    <t>transmission filtre</t>
  </si>
  <si>
    <t>T(h)</t>
  </si>
  <si>
    <t>NQFT</t>
  </si>
  <si>
    <t>h(l)</t>
  </si>
  <si>
    <t>L</t>
  </si>
  <si>
    <t>S</t>
  </si>
  <si>
    <t>SK</t>
  </si>
  <si>
    <t xml:space="preserve">Modèle CCD </t>
  </si>
  <si>
    <t>http//www.jeandijon.com</t>
  </si>
  <si>
    <t>kaf1603</t>
  </si>
  <si>
    <t>2h30</t>
  </si>
  <si>
    <t>10h</t>
  </si>
  <si>
    <t xml:space="preserve">diametre diffraction etoile </t>
  </si>
  <si>
    <t>diametre diffraction etoile</t>
  </si>
  <si>
    <t>sigma diffraction</t>
  </si>
  <si>
    <t>fraction energie etoile dans le pixel</t>
  </si>
  <si>
    <t>5min</t>
  </si>
  <si>
    <t>asi 1600mm</t>
  </si>
  <si>
    <t>QE</t>
  </si>
  <si>
    <t>asi1600mm</t>
  </si>
  <si>
    <t>binning</t>
  </si>
  <si>
    <t>Capteur</t>
  </si>
  <si>
    <t>U</t>
  </si>
  <si>
    <t>B</t>
  </si>
  <si>
    <t>V</t>
  </si>
  <si>
    <t>R</t>
  </si>
  <si>
    <t>I</t>
  </si>
  <si>
    <t>J</t>
  </si>
  <si>
    <t>H</t>
  </si>
  <si>
    <t>K</t>
  </si>
  <si>
    <t>1.74x10e-2</t>
  </si>
  <si>
    <t>1.76x10e-2</t>
  </si>
  <si>
    <t>3.62x10e-2</t>
  </si>
  <si>
    <t>5.50x10e-2</t>
  </si>
  <si>
    <t>1.02x10e-1</t>
  </si>
  <si>
    <t>mag/sec2</t>
  </si>
  <si>
    <t>lambda µm</t>
  </si>
  <si>
    <t>filtre</t>
  </si>
  <si>
    <t>mauna kea</t>
  </si>
  <si>
    <t>flux photon/cm2/s/µm/(")2</t>
  </si>
  <si>
    <t>Hauteur de l'astre</t>
  </si>
  <si>
    <t>turbulence (zenith)</t>
  </si>
  <si>
    <t>°</t>
  </si>
  <si>
    <t>turbulence (Z)</t>
  </si>
  <si>
    <t>CCD (1) ou CMOS (0)</t>
  </si>
  <si>
    <t>CCD (1) ou CMOS( 0)</t>
  </si>
  <si>
    <t>turbulence(Z)</t>
  </si>
  <si>
    <t>sec(Z)</t>
  </si>
  <si>
    <t>masse d'air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</si>
</sst>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  <numFmt numFmtId="165" formatCode="0.000E+00"/>
    <numFmt numFmtId="166" formatCode="&quot;Vrai&quot;;&quot;Vrai&quot;;&quot;Faux&quot;"/>
    <numFmt numFmtId="167" formatCode="&quot;Actif&quot;;&quot;Actif&quot;;&quot;Inactif&quot;"/>
    <numFmt numFmtId="168" formatCode="[$€-2]\ #,##0.00_);[Red]\([$€-2]\ #,##0.00\)"/>
  </numFmts>
  <fonts count="68">
    <font>
      <sz val="10"/>
      <name val="Arial"/>
      <family val="0"/>
    </font>
    <font>
      <b/>
      <sz val="20"/>
      <name val="Arial"/>
      <family val="2"/>
    </font>
    <font>
      <b/>
      <i/>
      <sz val="14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.75"/>
      <color indexed="8"/>
      <name val="Arial"/>
      <family val="2"/>
    </font>
    <font>
      <sz val="10.75"/>
      <color indexed="8"/>
      <name val="Arial"/>
      <family val="2"/>
    </font>
    <font>
      <b/>
      <sz val="10.75"/>
      <color indexed="8"/>
      <name val="Arial"/>
      <family val="2"/>
    </font>
    <font>
      <sz val="9.2"/>
      <color indexed="8"/>
      <name val="Arial"/>
      <family val="2"/>
    </font>
    <font>
      <sz val="8.75"/>
      <color indexed="8"/>
      <name val="Arial"/>
      <family val="2"/>
    </font>
    <font>
      <sz val="9.5"/>
      <color indexed="8"/>
      <name val="Arial"/>
      <family val="2"/>
    </font>
    <font>
      <b/>
      <sz val="9.5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vertAlign val="superscript"/>
      <sz val="10"/>
      <color indexed="8"/>
      <name val="Arial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b/>
      <vertAlign val="superscript"/>
      <sz val="14"/>
      <color indexed="8"/>
      <name val="Calibri"/>
      <family val="2"/>
    </font>
    <font>
      <b/>
      <sz val="18"/>
      <color indexed="8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0" borderId="2" applyNumberFormat="0" applyFill="0" applyAlignment="0" applyProtection="0"/>
    <xf numFmtId="0" fontId="0" fillId="27" borderId="3" applyNumberFormat="0" applyFont="0" applyAlignment="0" applyProtection="0"/>
    <xf numFmtId="0" fontId="56" fillId="28" borderId="1" applyNumberFormat="0" applyAlignment="0" applyProtection="0"/>
    <xf numFmtId="0" fontId="57" fillId="2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0" borderId="0" applyNumberFormat="0" applyBorder="0" applyAlignment="0" applyProtection="0"/>
    <xf numFmtId="9" fontId="0" fillId="0" borderId="0" applyFont="0" applyFill="0" applyBorder="0" applyAlignment="0" applyProtection="0"/>
    <xf numFmtId="0" fontId="59" fillId="31" borderId="0" applyNumberFormat="0" applyBorder="0" applyAlignment="0" applyProtection="0"/>
    <xf numFmtId="0" fontId="60" fillId="26" borderId="4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0" fontId="67" fillId="32" borderId="9" applyNumberFormat="0" applyAlignment="0" applyProtection="0"/>
  </cellStyleXfs>
  <cellXfs count="9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" fillId="33" borderId="13" xfId="0" applyFont="1" applyFill="1" applyBorder="1" applyAlignment="1">
      <alignment/>
    </xf>
    <xf numFmtId="0" fontId="4" fillId="33" borderId="0" xfId="0" applyFont="1" applyFill="1" applyBorder="1" applyAlignment="1">
      <alignment horizontal="center"/>
    </xf>
    <xf numFmtId="0" fontId="5" fillId="33" borderId="14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4" fillId="33" borderId="16" xfId="0" applyFont="1" applyFill="1" applyBorder="1" applyAlignment="1">
      <alignment horizontal="center"/>
    </xf>
    <xf numFmtId="0" fontId="5" fillId="33" borderId="17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7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3" fillId="33" borderId="15" xfId="0" applyFont="1" applyFill="1" applyBorder="1" applyAlignment="1">
      <alignment horizontal="left"/>
    </xf>
    <xf numFmtId="0" fontId="3" fillId="33" borderId="16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10" xfId="0" applyFont="1" applyBorder="1" applyAlignment="1">
      <alignment horizontal="right"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0" fontId="3" fillId="34" borderId="12" xfId="0" applyFont="1" applyFill="1" applyBorder="1" applyAlignment="1">
      <alignment horizontal="center"/>
    </xf>
    <xf numFmtId="0" fontId="3" fillId="34" borderId="13" xfId="0" applyFont="1" applyFill="1" applyBorder="1" applyAlignment="1">
      <alignment horizontal="center"/>
    </xf>
    <xf numFmtId="0" fontId="3" fillId="34" borderId="0" xfId="0" applyFont="1" applyFill="1" applyBorder="1" applyAlignment="1">
      <alignment horizontal="center"/>
    </xf>
    <xf numFmtId="0" fontId="3" fillId="34" borderId="14" xfId="0" applyFont="1" applyFill="1" applyBorder="1" applyAlignment="1">
      <alignment horizontal="center"/>
    </xf>
    <xf numFmtId="0" fontId="3" fillId="34" borderId="15" xfId="0" applyFont="1" applyFill="1" applyBorder="1" applyAlignment="1">
      <alignment horizontal="center"/>
    </xf>
    <xf numFmtId="0" fontId="3" fillId="34" borderId="16" xfId="0" applyFont="1" applyFill="1" applyBorder="1" applyAlignment="1">
      <alignment horizontal="center"/>
    </xf>
    <xf numFmtId="0" fontId="3" fillId="34" borderId="17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10" fillId="0" borderId="11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wrapText="1"/>
    </xf>
    <xf numFmtId="0" fontId="8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11" fillId="0" borderId="0" xfId="0" applyFont="1" applyBorder="1" applyAlignment="1">
      <alignment horizontal="center" vertical="top"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11" fillId="0" borderId="16" xfId="0" applyFont="1" applyBorder="1" applyAlignment="1">
      <alignment horizontal="center" vertical="top" wrapText="1"/>
    </xf>
    <xf numFmtId="0" fontId="0" fillId="0" borderId="17" xfId="0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15" xfId="0" applyFont="1" applyBorder="1" applyAlignment="1">
      <alignment horizontal="center"/>
    </xf>
    <xf numFmtId="0" fontId="10" fillId="33" borderId="0" xfId="0" applyFont="1" applyFill="1" applyBorder="1" applyAlignment="1">
      <alignment horizontal="center" vertical="top" wrapText="1"/>
    </xf>
    <xf numFmtId="0" fontId="8" fillId="33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Fill="1" applyBorder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Alignment="1">
      <alignment/>
    </xf>
    <xf numFmtId="0" fontId="8" fillId="0" borderId="18" xfId="0" applyFont="1" applyBorder="1" applyAlignment="1">
      <alignment horizontal="center"/>
    </xf>
    <xf numFmtId="0" fontId="8" fillId="0" borderId="0" xfId="0" applyFont="1" applyAlignment="1">
      <alignment/>
    </xf>
    <xf numFmtId="0" fontId="2" fillId="0" borderId="13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0" fillId="0" borderId="20" xfId="0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Border="1" applyAlignment="1">
      <alignment/>
    </xf>
    <xf numFmtId="0" fontId="0" fillId="0" borderId="14" xfId="0" applyBorder="1" applyAlignment="1">
      <alignment/>
    </xf>
    <xf numFmtId="0" fontId="0" fillId="0" borderId="17" xfId="0" applyBorder="1" applyAlignment="1">
      <alignment/>
    </xf>
    <xf numFmtId="0" fontId="3" fillId="33" borderId="0" xfId="0" applyFont="1" applyFill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0" fillId="33" borderId="16" xfId="0" applyFont="1" applyFill="1" applyBorder="1" applyAlignment="1">
      <alignment horizontal="center" vertical="top" wrapText="1"/>
    </xf>
    <xf numFmtId="0" fontId="8" fillId="0" borderId="16" xfId="0" applyFont="1" applyBorder="1" applyAlignment="1">
      <alignment horizontal="center"/>
    </xf>
    <xf numFmtId="0" fontId="5" fillId="0" borderId="16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0" fillId="0" borderId="14" xfId="0" applyFill="1" applyBorder="1" applyAlignment="1">
      <alignment/>
    </xf>
    <xf numFmtId="0" fontId="0" fillId="0" borderId="17" xfId="0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14" fillId="0" borderId="0" xfId="0" applyFont="1" applyAlignment="1">
      <alignment/>
    </xf>
    <xf numFmtId="0" fontId="11" fillId="0" borderId="0" xfId="0" applyFont="1" applyAlignment="1">
      <alignment horizontal="center" vertical="top" wrapText="1"/>
    </xf>
    <xf numFmtId="0" fontId="3" fillId="33" borderId="13" xfId="0" applyFont="1" applyFill="1" applyBorder="1" applyAlignment="1">
      <alignment horizontal="left"/>
    </xf>
    <xf numFmtId="0" fontId="4" fillId="33" borderId="17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14" fontId="0" fillId="0" borderId="0" xfId="0" applyNumberFormat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575"/>
          <c:y val="0.04175"/>
          <c:w val="0.92425"/>
          <c:h val="0.88325"/>
        </c:manualLayout>
      </c:layout>
      <c:scatterChart>
        <c:scatterStyle val="lineMarker"/>
        <c:varyColors val="0"/>
        <c:ser>
          <c:idx val="0"/>
          <c:order val="0"/>
          <c:tx>
            <c:v>1 s</c:v>
          </c:tx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'Telescope 1'!$H$8:$H$30</c:f>
              <c:numCache/>
            </c:numRef>
          </c:xVal>
          <c:yVal>
            <c:numRef>
              <c:f>'Telescope 1'!$I$8:$I$30</c:f>
              <c:numCache/>
            </c:numRef>
          </c:yVal>
          <c:smooth val="0"/>
        </c:ser>
        <c:ser>
          <c:idx val="2"/>
          <c:order val="1"/>
          <c:tx>
            <c:v>1 mn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'Telescope 1'!$H$8:$H$38</c:f>
              <c:numCache/>
            </c:numRef>
          </c:xVal>
          <c:yVal>
            <c:numRef>
              <c:f>'Telescope 1'!$K$8:$K$38</c:f>
              <c:numCache/>
            </c:numRef>
          </c:yVal>
          <c:smooth val="0"/>
        </c:ser>
        <c:ser>
          <c:idx val="3"/>
          <c:order val="2"/>
          <c:tx>
            <c:v>5 mn</c:v>
          </c:tx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'Telescope 1'!$H$8:$H$38</c:f>
              <c:numCache/>
            </c:numRef>
          </c:xVal>
          <c:yVal>
            <c:numRef>
              <c:f>'Telescope 1'!$L$8:$L$38</c:f>
              <c:numCache/>
            </c:numRef>
          </c:yVal>
          <c:smooth val="0"/>
        </c:ser>
        <c:axId val="22905609"/>
        <c:axId val="4823890"/>
      </c:scatterChart>
      <c:valAx>
        <c:axId val="22905609"/>
        <c:scaling>
          <c:orientation val="minMax"/>
          <c:max val="25"/>
          <c:min val="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magnitude</a:t>
                </a:r>
              </a:p>
            </c:rich>
          </c:tx>
          <c:layout>
            <c:manualLayout>
              <c:xMode val="factor"/>
              <c:yMode val="factor"/>
              <c:x val="-0.0092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cross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23890"/>
        <c:crosses val="autoZero"/>
        <c:crossBetween val="midCat"/>
        <c:dispUnits/>
      </c:valAx>
      <c:valAx>
        <c:axId val="4823890"/>
        <c:scaling>
          <c:logBase val="10"/>
          <c:orientation val="minMax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rapport S/B</a:t>
                </a:r>
              </a:p>
            </c:rich>
          </c:tx>
          <c:layout>
            <c:manualLayout>
              <c:xMode val="factor"/>
              <c:yMode val="factor"/>
              <c:x val="-0.0177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cross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90560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9125"/>
          <c:y val="0.0915"/>
          <c:w val="0.15375"/>
          <c:h val="0.14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5"/>
          <c:y val="0.0135"/>
          <c:w val="0.91825"/>
          <c:h val="0.90225"/>
        </c:manualLayout>
      </c:layout>
      <c:scatterChart>
        <c:scatterStyle val="lineMarker"/>
        <c:varyColors val="0"/>
        <c:ser>
          <c:idx val="0"/>
          <c:order val="0"/>
          <c:tx>
            <c:v>T 520</c:v>
          </c:tx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'Telescope 1'!$H$8:$H$35</c:f>
              <c:numCache>
                <c:ptCount val="28"/>
                <c:pt idx="0">
                  <c:v>10</c:v>
                </c:pt>
                <c:pt idx="1">
                  <c:v>10.5</c:v>
                </c:pt>
                <c:pt idx="2">
                  <c:v>11</c:v>
                </c:pt>
                <c:pt idx="3">
                  <c:v>11.5</c:v>
                </c:pt>
                <c:pt idx="4">
                  <c:v>12</c:v>
                </c:pt>
                <c:pt idx="5">
                  <c:v>12.5</c:v>
                </c:pt>
                <c:pt idx="6">
                  <c:v>13</c:v>
                </c:pt>
                <c:pt idx="7">
                  <c:v>13.5</c:v>
                </c:pt>
                <c:pt idx="8">
                  <c:v>14</c:v>
                </c:pt>
                <c:pt idx="9">
                  <c:v>14.5</c:v>
                </c:pt>
                <c:pt idx="10">
                  <c:v>15</c:v>
                </c:pt>
                <c:pt idx="11">
                  <c:v>15.5</c:v>
                </c:pt>
                <c:pt idx="12">
                  <c:v>16</c:v>
                </c:pt>
                <c:pt idx="13">
                  <c:v>16.5</c:v>
                </c:pt>
                <c:pt idx="14">
                  <c:v>17</c:v>
                </c:pt>
                <c:pt idx="15">
                  <c:v>17.5</c:v>
                </c:pt>
                <c:pt idx="16">
                  <c:v>18</c:v>
                </c:pt>
                <c:pt idx="17">
                  <c:v>18.5</c:v>
                </c:pt>
                <c:pt idx="18">
                  <c:v>19</c:v>
                </c:pt>
                <c:pt idx="19">
                  <c:v>19.5</c:v>
                </c:pt>
                <c:pt idx="20">
                  <c:v>20</c:v>
                </c:pt>
                <c:pt idx="21">
                  <c:v>20.5</c:v>
                </c:pt>
                <c:pt idx="22">
                  <c:v>21</c:v>
                </c:pt>
                <c:pt idx="23">
                  <c:v>21.5</c:v>
                </c:pt>
                <c:pt idx="24">
                  <c:v>22</c:v>
                </c:pt>
                <c:pt idx="25">
                  <c:v>22.5</c:v>
                </c:pt>
                <c:pt idx="26">
                  <c:v>23</c:v>
                </c:pt>
                <c:pt idx="27">
                  <c:v>23.5</c:v>
                </c:pt>
              </c:numCache>
            </c:numRef>
          </c:xVal>
          <c:yVal>
            <c:numRef>
              <c:f>'Telescope 1'!$L$8:$L$35</c:f>
              <c:numCache>
                <c:ptCount val="28"/>
                <c:pt idx="0">
                  <c:v>3034.31</c:v>
                </c:pt>
                <c:pt idx="1">
                  <c:v>2409.39</c:v>
                </c:pt>
                <c:pt idx="2">
                  <c:v>1912.77</c:v>
                </c:pt>
                <c:pt idx="3">
                  <c:v>1518.02</c:v>
                </c:pt>
                <c:pt idx="4">
                  <c:v>1204.11</c:v>
                </c:pt>
                <c:pt idx="5">
                  <c:v>954.34</c:v>
                </c:pt>
                <c:pt idx="6">
                  <c:v>755.41</c:v>
                </c:pt>
                <c:pt idx="7">
                  <c:v>596.75</c:v>
                </c:pt>
                <c:pt idx="8">
                  <c:v>469.96</c:v>
                </c:pt>
                <c:pt idx="9">
                  <c:v>368.37</c:v>
                </c:pt>
                <c:pt idx="10">
                  <c:v>286.69</c:v>
                </c:pt>
                <c:pt idx="11">
                  <c:v>220.84</c:v>
                </c:pt>
                <c:pt idx="12">
                  <c:v>167.68</c:v>
                </c:pt>
                <c:pt idx="13">
                  <c:v>124.92</c:v>
                </c:pt>
                <c:pt idx="14">
                  <c:v>90.93</c:v>
                </c:pt>
                <c:pt idx="15">
                  <c:v>64.51</c:v>
                </c:pt>
                <c:pt idx="16">
                  <c:v>44.58</c:v>
                </c:pt>
                <c:pt idx="17">
                  <c:v>30.09</c:v>
                </c:pt>
                <c:pt idx="18">
                  <c:v>19.92</c:v>
                </c:pt>
                <c:pt idx="19">
                  <c:v>12.98</c:v>
                </c:pt>
                <c:pt idx="20">
                  <c:v>8.37</c:v>
                </c:pt>
                <c:pt idx="21">
                  <c:v>5.36</c:v>
                </c:pt>
                <c:pt idx="22">
                  <c:v>3.41</c:v>
                </c:pt>
                <c:pt idx="23">
                  <c:v>2.17</c:v>
                </c:pt>
                <c:pt idx="24">
                  <c:v>1.37</c:v>
                </c:pt>
                <c:pt idx="25">
                  <c:v>0.87</c:v>
                </c:pt>
                <c:pt idx="26">
                  <c:v>0.55</c:v>
                </c:pt>
                <c:pt idx="27">
                  <c:v>0.35</c:v>
                </c:pt>
              </c:numCache>
            </c:numRef>
          </c:yVal>
          <c:smooth val="0"/>
        </c:ser>
        <c:ser>
          <c:idx val="1"/>
          <c:order val="1"/>
          <c:tx>
            <c:v>T250 F10</c:v>
          </c:tx>
          <c:spPr>
            <a:ln w="3175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'Telescope 2'!$H$8:$H$33</c:f>
              <c:numCache/>
            </c:numRef>
          </c:xVal>
          <c:yVal>
            <c:numRef>
              <c:f>'Telescope 2'!$L$8:$L$33</c:f>
              <c:numCache/>
            </c:numRef>
          </c:yVal>
          <c:smooth val="0"/>
        </c:ser>
        <c:axId val="43415011"/>
        <c:axId val="55190780"/>
      </c:scatterChart>
      <c:valAx>
        <c:axId val="434150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magnitude</a:t>
                </a:r>
              </a:p>
            </c:rich>
          </c:tx>
          <c:layout>
            <c:manualLayout>
              <c:xMode val="factor"/>
              <c:yMode val="factor"/>
              <c:x val="-0.007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cross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190780"/>
        <c:crosses val="autoZero"/>
        <c:crossBetween val="midCat"/>
        <c:dispUnits/>
      </c:valAx>
      <c:valAx>
        <c:axId val="55190780"/>
        <c:scaling>
          <c:logBase val="10"/>
          <c:orientation val="minMax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rapport S/B</a:t>
                </a:r>
              </a:p>
            </c:rich>
          </c:tx>
          <c:layout>
            <c:manualLayout>
              <c:xMode val="factor"/>
              <c:yMode val="factor"/>
              <c:x val="-0.013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cross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41501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835"/>
          <c:y val="0.1115"/>
          <c:w val="0.14925"/>
          <c:h val="0.10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rendement quantique asi1600mm</a:t>
            </a:r>
          </a:p>
        </c:rich>
      </c:tx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25"/>
          <c:y val="0.09325"/>
          <c:w val="0.9365"/>
          <c:h val="0.854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ly"/>
            <c:order val="4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E+00"/>
            </c:trendlineLbl>
          </c:trendline>
          <c:xVal>
            <c:numRef>
              <c:f>Feuil1!$B$2:$B$19</c:f>
              <c:numCache/>
            </c:numRef>
          </c:xVal>
          <c:yVal>
            <c:numRef>
              <c:f>Feuil1!$C$2:$C$19</c:f>
              <c:numCache/>
            </c:numRef>
          </c:yVal>
          <c:smooth val="0"/>
        </c:ser>
        <c:axId val="26954973"/>
        <c:axId val="41268166"/>
      </c:scatterChart>
      <c:valAx>
        <c:axId val="26954973"/>
        <c:scaling>
          <c:orientation val="minMax"/>
          <c:min val="0.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lambda µm</a:t>
                </a:r>
              </a:p>
            </c:rich>
          </c:tx>
          <c:layout>
            <c:manualLayout>
              <c:xMode val="factor"/>
              <c:yMode val="factor"/>
              <c:x val="-0.007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cross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268166"/>
        <c:crosses val="autoZero"/>
        <c:crossBetween val="midCat"/>
        <c:dispUnits/>
        <c:minorUnit val="0.025"/>
      </c:valAx>
      <c:valAx>
        <c:axId val="412681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QE</a:t>
                </a:r>
              </a:p>
            </c:rich>
          </c:tx>
          <c:layout>
            <c:manualLayout>
              <c:xMode val="factor"/>
              <c:yMode val="factor"/>
              <c:x val="-0.0135"/>
              <c:y val="-0.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95497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39"/>
          <c:y val="0.1315"/>
          <c:w val="0.268"/>
          <c:h val="0.11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Magnitude Fond de ciel</a:t>
            </a:r>
          </a:p>
        </c:rich>
      </c:tx>
      <c:layout>
        <c:manualLayout>
          <c:xMode val="factor"/>
          <c:yMode val="factor"/>
          <c:x val="-0.00175"/>
          <c:y val="-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125"/>
          <c:y val="0.10825"/>
          <c:w val="0.84375"/>
          <c:h val="0.85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Feuil3!$E$4:$E$11</c:f>
              <c:numCache/>
            </c:numRef>
          </c:xVal>
          <c:yVal>
            <c:numRef>
              <c:f>Feuil3!$F$4:$F$11</c:f>
              <c:numCache/>
            </c:numRef>
          </c:yVal>
          <c:smooth val="0"/>
        </c:ser>
        <c:axId val="35869175"/>
        <c:axId val="54387120"/>
      </c:scatterChart>
      <c:valAx>
        <c:axId val="358691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Lambda µm</a:t>
                </a:r>
              </a:p>
            </c:rich>
          </c:tx>
          <c:layout>
            <c:manualLayout>
              <c:xMode val="factor"/>
              <c:yMode val="factor"/>
              <c:x val="0.005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387120"/>
        <c:crosses val="autoZero"/>
        <c:crossBetween val="midCat"/>
        <c:dispUnits/>
      </c:valAx>
      <c:valAx>
        <c:axId val="543871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Mag/ (")</a:t>
                </a:r>
                <a:r>
                  <a:rPr lang="en-US" cap="none" sz="1400" b="1" i="0" u="none" baseline="30000">
                    <a:solidFill>
                      <a:srgbClr val="000000"/>
                    </a:solidFill>
                  </a:rPr>
                  <a:t>2</a:t>
                </a:r>
              </a:p>
            </c:rich>
          </c:tx>
          <c:layout>
            <c:manualLayout>
              <c:xMode val="factor"/>
              <c:yMode val="factor"/>
              <c:x val="-0.001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869175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0.11525</cdr:x>
      <cdr:y>0.781</cdr:y>
    </cdr:from>
    <cdr:to>
      <cdr:x>0.878</cdr:x>
      <cdr:y>0.781</cdr:y>
    </cdr:to>
    <cdr:sp>
      <cdr:nvSpPr>
        <cdr:cNvPr id="1" name="Line 1"/>
        <cdr:cNvSpPr>
          <a:spLocks/>
        </cdr:cNvSpPr>
      </cdr:nvSpPr>
      <cdr:spPr>
        <a:xfrm>
          <a:off x="762000" y="3209925"/>
          <a:ext cx="5095875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</xdr:colOff>
      <xdr:row>44</xdr:row>
      <xdr:rowOff>9525</xdr:rowOff>
    </xdr:from>
    <xdr:to>
      <xdr:col>15</xdr:col>
      <xdr:colOff>504825</xdr:colOff>
      <xdr:row>69</xdr:row>
      <xdr:rowOff>47625</xdr:rowOff>
    </xdr:to>
    <xdr:graphicFrame>
      <xdr:nvGraphicFramePr>
        <xdr:cNvPr id="1" name="Graphique 2"/>
        <xdr:cNvGraphicFramePr/>
      </xdr:nvGraphicFramePr>
      <xdr:xfrm>
        <a:off x="7124700" y="8858250"/>
        <a:ext cx="6686550" cy="4114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0.10025</cdr:x>
      <cdr:y>0.747</cdr:y>
    </cdr:from>
    <cdr:to>
      <cdr:x>0.839</cdr:x>
      <cdr:y>0.747</cdr:y>
    </cdr:to>
    <cdr:sp>
      <cdr:nvSpPr>
        <cdr:cNvPr id="1" name="Line 1"/>
        <cdr:cNvSpPr>
          <a:spLocks/>
        </cdr:cNvSpPr>
      </cdr:nvSpPr>
      <cdr:spPr>
        <a:xfrm>
          <a:off x="657225" y="2924175"/>
          <a:ext cx="4905375" cy="0"/>
        </a:xfrm>
        <a:prstGeom prst="line">
          <a:avLst/>
        </a:prstGeom>
        <a:noFill/>
        <a:ln w="12700" cmpd="sng">
          <a:solidFill>
            <a:srgbClr val="339966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133350</xdr:colOff>
      <xdr:row>43</xdr:row>
      <xdr:rowOff>19050</xdr:rowOff>
    </xdr:from>
    <xdr:to>
      <xdr:col>16</xdr:col>
      <xdr:colOff>19050</xdr:colOff>
      <xdr:row>67</xdr:row>
      <xdr:rowOff>57150</xdr:rowOff>
    </xdr:to>
    <xdr:graphicFrame>
      <xdr:nvGraphicFramePr>
        <xdr:cNvPr id="1" name="Graphique 1"/>
        <xdr:cNvGraphicFramePr/>
      </xdr:nvGraphicFramePr>
      <xdr:xfrm>
        <a:off x="7191375" y="8562975"/>
        <a:ext cx="6638925" cy="3924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428625</xdr:colOff>
      <xdr:row>53</xdr:row>
      <xdr:rowOff>114300</xdr:rowOff>
    </xdr:from>
    <xdr:to>
      <xdr:col>13</xdr:col>
      <xdr:colOff>428625</xdr:colOff>
      <xdr:row>60</xdr:row>
      <xdr:rowOff>85725</xdr:rowOff>
    </xdr:to>
    <xdr:sp>
      <xdr:nvSpPr>
        <xdr:cNvPr id="2" name="Line 2"/>
        <xdr:cNvSpPr>
          <a:spLocks/>
        </xdr:cNvSpPr>
      </xdr:nvSpPr>
      <xdr:spPr>
        <a:xfrm flipV="1">
          <a:off x="12163425" y="10277475"/>
          <a:ext cx="0" cy="1104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752475</xdr:colOff>
      <xdr:row>56</xdr:row>
      <xdr:rowOff>142875</xdr:rowOff>
    </xdr:from>
    <xdr:to>
      <xdr:col>14</xdr:col>
      <xdr:colOff>476250</xdr:colOff>
      <xdr:row>56</xdr:row>
      <xdr:rowOff>142875</xdr:rowOff>
    </xdr:to>
    <xdr:sp>
      <xdr:nvSpPr>
        <xdr:cNvPr id="3" name="Line 3"/>
        <xdr:cNvSpPr>
          <a:spLocks/>
        </xdr:cNvSpPr>
      </xdr:nvSpPr>
      <xdr:spPr>
        <a:xfrm>
          <a:off x="7810500" y="10791825"/>
          <a:ext cx="5162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542925</xdr:colOff>
      <xdr:row>4</xdr:row>
      <xdr:rowOff>19050</xdr:rowOff>
    </xdr:from>
    <xdr:to>
      <xdr:col>12</xdr:col>
      <xdr:colOff>495300</xdr:colOff>
      <xdr:row>23</xdr:row>
      <xdr:rowOff>114300</xdr:rowOff>
    </xdr:to>
    <xdr:graphicFrame>
      <xdr:nvGraphicFramePr>
        <xdr:cNvPr id="1" name="Graphique 1"/>
        <xdr:cNvGraphicFramePr/>
      </xdr:nvGraphicFramePr>
      <xdr:xfrm>
        <a:off x="4352925" y="666750"/>
        <a:ext cx="5286375" cy="3171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485775</xdr:colOff>
      <xdr:row>1</xdr:row>
      <xdr:rowOff>171450</xdr:rowOff>
    </xdr:from>
    <xdr:to>
      <xdr:col>13</xdr:col>
      <xdr:colOff>304800</xdr:colOff>
      <xdr:row>16</xdr:row>
      <xdr:rowOff>114300</xdr:rowOff>
    </xdr:to>
    <xdr:graphicFrame>
      <xdr:nvGraphicFramePr>
        <xdr:cNvPr id="1" name="Graphique 1"/>
        <xdr:cNvGraphicFramePr/>
      </xdr:nvGraphicFramePr>
      <xdr:xfrm>
        <a:off x="6486525" y="333375"/>
        <a:ext cx="4391025" cy="2657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C78"/>
  <sheetViews>
    <sheetView tabSelected="1" zoomScalePageLayoutView="0" workbookViewId="0" topLeftCell="A1">
      <selection activeCell="D5" sqref="D5"/>
    </sheetView>
  </sheetViews>
  <sheetFormatPr defaultColWidth="11.421875" defaultRowHeight="12.75"/>
  <cols>
    <col min="1" max="1" width="5.421875" style="0" customWidth="1"/>
    <col min="2" max="2" width="34.8515625" style="0" customWidth="1"/>
    <col min="3" max="3" width="14.28125" style="0" customWidth="1"/>
    <col min="4" max="4" width="17.28125" style="0" customWidth="1"/>
    <col min="5" max="5" width="14.28125" style="0" customWidth="1"/>
    <col min="6" max="6" width="12.57421875" style="0" customWidth="1"/>
    <col min="7" max="7" width="7.8515625" style="0" customWidth="1"/>
    <col min="8" max="8" width="13.28125" style="0" customWidth="1"/>
    <col min="10" max="10" width="11.140625" style="0" customWidth="1"/>
    <col min="16" max="17" width="8.28125" style="0" customWidth="1"/>
    <col min="18" max="18" width="8.57421875" style="0" customWidth="1"/>
    <col min="19" max="19" width="6.28125" style="0" customWidth="1"/>
    <col min="20" max="20" width="14.7109375" style="0" customWidth="1"/>
    <col min="21" max="21" width="13.421875" style="0" customWidth="1"/>
    <col min="22" max="22" width="11.140625" style="0" customWidth="1"/>
    <col min="23" max="23" width="7.57421875" style="0" customWidth="1"/>
    <col min="24" max="24" width="9.140625" style="0" customWidth="1"/>
    <col min="25" max="25" width="6.57421875" style="0" customWidth="1"/>
    <col min="26" max="26" width="7.7109375" style="0" customWidth="1"/>
  </cols>
  <sheetData>
    <row r="2" ht="24">
      <c r="B2" s="1" t="s">
        <v>53</v>
      </c>
    </row>
    <row r="3" ht="16.5" customHeight="1">
      <c r="B3" s="1"/>
    </row>
    <row r="4" spans="2:3" ht="15">
      <c r="B4" s="53" t="s">
        <v>54</v>
      </c>
      <c r="C4" s="89">
        <v>44538</v>
      </c>
    </row>
    <row r="5" spans="2:29" ht="13.5" thickBot="1">
      <c r="B5" s="15"/>
      <c r="AA5" s="47" t="s">
        <v>55</v>
      </c>
      <c r="AC5" s="60" t="s">
        <v>65</v>
      </c>
    </row>
    <row r="6" spans="2:25" ht="30.75">
      <c r="B6" s="2" t="s">
        <v>0</v>
      </c>
      <c r="C6" s="3"/>
      <c r="D6" s="4"/>
      <c r="H6" s="22" t="s">
        <v>36</v>
      </c>
      <c r="I6" s="23" t="s">
        <v>37</v>
      </c>
      <c r="J6" s="23" t="s">
        <v>38</v>
      </c>
      <c r="K6" s="23" t="s">
        <v>39</v>
      </c>
      <c r="L6" s="23" t="s">
        <v>62</v>
      </c>
      <c r="M6" s="23" t="s">
        <v>40</v>
      </c>
      <c r="N6" s="23" t="s">
        <v>56</v>
      </c>
      <c r="O6" s="23" t="s">
        <v>41</v>
      </c>
      <c r="P6" s="52" t="s">
        <v>57</v>
      </c>
      <c r="R6" s="36" t="s">
        <v>43</v>
      </c>
      <c r="S6" s="37" t="s">
        <v>44</v>
      </c>
      <c r="T6" s="38" t="s">
        <v>45</v>
      </c>
      <c r="U6" s="38" t="s">
        <v>46</v>
      </c>
      <c r="V6" s="39" t="s">
        <v>19</v>
      </c>
      <c r="W6" s="37" t="s">
        <v>47</v>
      </c>
      <c r="X6" s="37" t="s">
        <v>48</v>
      </c>
      <c r="Y6" s="40" t="s">
        <v>49</v>
      </c>
    </row>
    <row r="7" spans="2:29" ht="15.75" thickBot="1">
      <c r="B7" s="5" t="s">
        <v>1</v>
      </c>
      <c r="C7" s="6">
        <v>52</v>
      </c>
      <c r="D7" s="7" t="s">
        <v>2</v>
      </c>
      <c r="H7" s="24" t="s">
        <v>42</v>
      </c>
      <c r="I7" s="21">
        <v>1</v>
      </c>
      <c r="J7" s="21">
        <v>10</v>
      </c>
      <c r="K7" s="21">
        <v>60</v>
      </c>
      <c r="L7" s="21">
        <v>300</v>
      </c>
      <c r="M7" s="21">
        <v>3600</v>
      </c>
      <c r="N7" s="21">
        <v>9000</v>
      </c>
      <c r="O7" s="21">
        <f>3600*5</f>
        <v>18000</v>
      </c>
      <c r="P7" s="25">
        <f>3600*10</f>
        <v>36000</v>
      </c>
      <c r="R7" s="41">
        <v>4000</v>
      </c>
      <c r="S7" s="21">
        <v>544</v>
      </c>
      <c r="T7" s="42">
        <v>0.54</v>
      </c>
      <c r="U7" s="49">
        <v>1</v>
      </c>
      <c r="V7" s="71">
        <v>0.45</v>
      </c>
      <c r="W7" s="21">
        <f>MIN(ROUND(T7*((1/T7)^(C$37/Y7)),3),1)</f>
        <v>0.566</v>
      </c>
      <c r="X7" s="21">
        <f>S7*V7*U7*W7</f>
        <v>138.55679999999998</v>
      </c>
      <c r="Y7" s="25">
        <v>5200</v>
      </c>
      <c r="AA7" s="15">
        <v>0.45</v>
      </c>
      <c r="AB7" s="51">
        <v>0.02</v>
      </c>
      <c r="AC7" s="51">
        <v>0.5</v>
      </c>
    </row>
    <row r="8" spans="2:29" ht="15">
      <c r="B8" s="5" t="s">
        <v>3</v>
      </c>
      <c r="C8" s="6">
        <v>10</v>
      </c>
      <c r="D8" s="7" t="s">
        <v>2</v>
      </c>
      <c r="H8" s="26">
        <f>B44</f>
        <v>10</v>
      </c>
      <c r="I8" s="27">
        <f>ROUND($D44*I$7/SQRT(I$7*($D44+$E44+$D$22*(1+$C$26/$C$25))+$C$26*$D$21*$D$21*(1+$C$26/$C$25)),2)</f>
        <v>174.11</v>
      </c>
      <c r="J8" s="28">
        <f>ROUND($D44*J$7/SQRT(J$7*($D44+$E44+$D$22*(1+$C$26/$C$25))+$C$26*$D$21*$D$21*(1+$C$26/$C$25)),2)</f>
        <v>553.65</v>
      </c>
      <c r="K8" s="28">
        <f>ROUND($D44*K$7/SQRT(K$7*($D44+$E44+$D$22*(1+$C$26/$C$25))+$C$26*$D$21*$D$21*(1+$C$26/$C$25)),2)</f>
        <v>1356.87</v>
      </c>
      <c r="L8" s="28">
        <f>ROUND($D44*L$7/SQRT(L$7*($D44+$E44+$D$22*(1+$C$26/$C$25))+$C$26*$D$21*$D$21*(1+$C$26/$C$25)),2)</f>
        <v>3034.31</v>
      </c>
      <c r="M8" s="28">
        <f>ROUND($D44*M$7/SQRT(M$7*($D44+$E44+$D$22*(1+$C$26/$C$25))+$C$26*$D$21*$D$21*(1+$C$26/$C$25)),1)</f>
        <v>10511.4</v>
      </c>
      <c r="N8" s="28">
        <f>ROUND($D44*N$7/SQRT(N$7*($D44+$E44+$D$22*(1+$C$26/$C$25))+$C$26*$D$21*$D$21*(1+$C$26/$C$25)),1)</f>
        <v>16620</v>
      </c>
      <c r="O8" s="28">
        <f>ROUND($D44*O$7/SQRT(O$7*($D44+$E44+$D$22*(1+$C$26/$C$25))+$C$26*$D$21*$D$21*(1+$C$26/$C$25)),1)</f>
        <v>23504.2</v>
      </c>
      <c r="P8" s="29">
        <f>ROUND($D44*P$7/SQRT(P$7*($D44+$E44+$D$22*(1+$C$26/$C$25))+$C$26*$D$21*$D$21*(1+$C$26/$C$25)),1)</f>
        <v>33239.9</v>
      </c>
      <c r="R8" s="41">
        <f>R7+500</f>
        <v>4500</v>
      </c>
      <c r="S8" s="21">
        <v>873</v>
      </c>
      <c r="T8" s="42">
        <v>0.63</v>
      </c>
      <c r="U8" s="49">
        <v>1</v>
      </c>
      <c r="V8" s="71">
        <v>0.55</v>
      </c>
      <c r="W8" s="21">
        <f>MIN(ROUND(T8*((1/T8)^(C$37/Y8)),3),1)</f>
        <v>0.656</v>
      </c>
      <c r="X8" s="21">
        <f>S8*V8*U8*W8</f>
        <v>314.9784</v>
      </c>
      <c r="Y8" s="25">
        <v>4500</v>
      </c>
      <c r="AA8" s="15">
        <v>0.55</v>
      </c>
      <c r="AB8" s="51">
        <v>0.07</v>
      </c>
      <c r="AC8" s="51">
        <v>0.59</v>
      </c>
    </row>
    <row r="9" spans="2:29" ht="15">
      <c r="B9" s="5" t="s">
        <v>4</v>
      </c>
      <c r="C9" s="6">
        <v>0.98</v>
      </c>
      <c r="D9" s="7"/>
      <c r="H9" s="26">
        <f>B45</f>
        <v>10.5</v>
      </c>
      <c r="I9" s="30">
        <f>ROUND($D45*I$7/SQRT(I$7*($D45+$E45+$D$22*(1+$C$26/$C$25))+$C$26*$D$21*$D$21*(1+$C$26/$C$25)),2)</f>
        <v>137.76</v>
      </c>
      <c r="J9" s="31">
        <f>ROUND($D45*J$7/SQRT(J$7*($D45+$E45+$D$22*(1+$C$26/$C$25))+$C$26*$D$21*$D$21*(1+$C$26/$C$25)),2)</f>
        <v>439.47</v>
      </c>
      <c r="K9" s="31">
        <f>ROUND($D45*K$7/SQRT(K$7*($D45+$E45+$D$22*(1+$C$26/$C$25))+$C$26*$D$21*$D$21*(1+$C$26/$C$25)),2)</f>
        <v>1077.37</v>
      </c>
      <c r="L9" s="31">
        <f>ROUND($D45*L$7/SQRT(L$7*($D45+$E45+$D$22*(1+$C$26/$C$25))+$C$26*$D$21*$D$21*(1+$C$26/$C$25)),2)</f>
        <v>2409.39</v>
      </c>
      <c r="M9" s="31">
        <f>ROUND($D45*M$7/SQRT(M$7*($D45+$E45+$D$22*(1+$C$26/$C$25))+$C$26*$D$21*$D$21*(1+$C$26/$C$25)),1)</f>
        <v>8346.6</v>
      </c>
      <c r="N9" s="31">
        <f>ROUND($D45*N$7/SQRT(N$7*($D45+$E45+$D$22*(1+$C$26/$C$25))+$C$26*$D$21*$D$21*(1+$C$26/$C$25)),1)</f>
        <v>13197.2</v>
      </c>
      <c r="O9" s="31">
        <f>ROUND($D45*O$7/SQRT(O$7*($D45+$E45+$D$22*(1+$C$26/$C$25))+$C$26*$D$21*$D$21*(1+$C$26/$C$25)),1)</f>
        <v>18663.6</v>
      </c>
      <c r="P9" s="32">
        <f>ROUND($D45*P$7/SQRT(P$7*($D45+$E45+$D$22*(1+$C$26/$C$25))+$C$26*$D$21*$D$21*(1+$C$26/$C$25)),1)</f>
        <v>26394.4</v>
      </c>
      <c r="R9" s="41">
        <f aca="true" t="shared" si="0" ref="R9:R19">R8+500</f>
        <v>5000</v>
      </c>
      <c r="S9" s="21">
        <v>999</v>
      </c>
      <c r="T9" s="42">
        <v>0.69</v>
      </c>
      <c r="U9" s="49">
        <v>1</v>
      </c>
      <c r="V9" s="71">
        <v>0.55</v>
      </c>
      <c r="W9" s="21">
        <f>MIN(ROUND(T9*((1/T9)^(C$37/Y9)),3),1)</f>
        <v>0.714</v>
      </c>
      <c r="X9" s="21">
        <f>S9*V9*U9*W9</f>
        <v>392.3073</v>
      </c>
      <c r="Y9" s="25">
        <v>4300</v>
      </c>
      <c r="AA9" s="15">
        <v>0.55</v>
      </c>
      <c r="AB9" s="51">
        <v>0.17</v>
      </c>
      <c r="AC9" s="51">
        <v>0.6</v>
      </c>
    </row>
    <row r="10" spans="2:29" ht="15">
      <c r="B10" s="5" t="s">
        <v>5</v>
      </c>
      <c r="C10" s="6">
        <v>0.98</v>
      </c>
      <c r="D10" s="7"/>
      <c r="H10" s="26">
        <f>B46</f>
        <v>11</v>
      </c>
      <c r="I10" s="30">
        <f>ROUND($D46*I$7/SQRT(I$7*($D46+$E46+$D$22*(1+$C$26/$C$25))+$C$26*$D$21*$D$21*(1+$C$26/$C$25)),2)</f>
        <v>108.75</v>
      </c>
      <c r="J10" s="31">
        <f>ROUND($D46*J$7/SQRT(J$7*($D46+$E46+$D$22*(1+$C$26/$C$25))+$C$26*$D$21*$D$21*(1+$C$26/$C$25)),2)</f>
        <v>348.7</v>
      </c>
      <c r="K10" s="31">
        <f>ROUND($D46*K$7/SQRT(K$7*($D46+$E46+$D$22*(1+$C$26/$C$25))+$C$26*$D$21*$D$21*(1+$C$26/$C$25)),2)</f>
        <v>855.24</v>
      </c>
      <c r="L10" s="31">
        <f>ROUND($D46*L$7/SQRT(L$7*($D46+$E46+$D$22*(1+$C$26/$C$25))+$C$26*$D$21*$D$21*(1+$C$26/$C$25)),2)</f>
        <v>1912.77</v>
      </c>
      <c r="M10" s="31">
        <f>ROUND($D46*M$7/SQRT(M$7*($D46+$E46+$D$22*(1+$C$26/$C$25))+$C$26*$D$21*$D$21*(1+$C$26/$C$25)),1)</f>
        <v>6626.3</v>
      </c>
      <c r="N10" s="31">
        <f>ROUND($D46*N$7/SQRT(N$7*($D46+$E46+$D$22*(1+$C$26/$C$25))+$C$26*$D$21*$D$21*(1+$C$26/$C$25)),1)</f>
        <v>10477.2</v>
      </c>
      <c r="O10" s="31">
        <f>ROUND($D46*O$7/SQRT(O$7*($D46+$E46+$D$22*(1+$C$26/$C$25))+$C$26*$D$21*$D$21*(1+$C$26/$C$25)),1)</f>
        <v>14817</v>
      </c>
      <c r="P10" s="32">
        <f>ROUND($D46*P$7/SQRT(P$7*($D46+$E46+$D$22*(1+$C$26/$C$25))+$C$26*$D$21*$D$21*(1+$C$26/$C$25)),1)</f>
        <v>20954.4</v>
      </c>
      <c r="R10" s="41">
        <f t="shared" si="0"/>
        <v>5500</v>
      </c>
      <c r="S10" s="21">
        <v>1069</v>
      </c>
      <c r="T10" s="42">
        <v>0.72</v>
      </c>
      <c r="U10" s="49">
        <v>1</v>
      </c>
      <c r="V10" s="71">
        <v>0.7</v>
      </c>
      <c r="W10" s="21">
        <f>MIN(ROUND(T10*((1/T10)^(C$37/Y10)),3),1)</f>
        <v>0.743</v>
      </c>
      <c r="X10" s="21">
        <f>S10*V10*U10*W10</f>
        <v>555.9869</v>
      </c>
      <c r="Y10" s="25">
        <v>4200</v>
      </c>
      <c r="AA10" s="15">
        <v>0.7</v>
      </c>
      <c r="AB10" s="51">
        <v>0.23</v>
      </c>
      <c r="AC10" s="51">
        <v>0.55</v>
      </c>
    </row>
    <row r="11" spans="2:29" ht="15">
      <c r="B11" s="5" t="s">
        <v>6</v>
      </c>
      <c r="C11" s="6">
        <v>2500</v>
      </c>
      <c r="D11" s="7" t="s">
        <v>7</v>
      </c>
      <c r="H11" s="26">
        <f>B47</f>
        <v>11.5</v>
      </c>
      <c r="I11" s="30">
        <f>ROUND($D47*I$7/SQRT(I$7*($D47+$E47+$D$22*(1+$C$26/$C$25))+$C$26*$D$21*$D$21*(1+$C$26/$C$25)),2)</f>
        <v>85.56</v>
      </c>
      <c r="J11" s="31">
        <f>ROUND($D47*J$7/SQRT(J$7*($D47+$E47+$D$22*(1+$C$26/$C$25))+$C$26*$D$21*$D$21*(1+$C$26/$C$25)),2)</f>
        <v>276.49</v>
      </c>
      <c r="K11" s="31">
        <f>ROUND($D47*K$7/SQRT(K$7*($D47+$E47+$D$22*(1+$C$26/$C$25))+$C$26*$D$21*$D$21*(1+$C$26/$C$25)),2)</f>
        <v>678.65</v>
      </c>
      <c r="L11" s="31">
        <f>ROUND($D47*L$7/SQRT(L$7*($D47+$E47+$D$22*(1+$C$26/$C$25))+$C$26*$D$21*$D$21*(1+$C$26/$C$25)),2)</f>
        <v>1518.02</v>
      </c>
      <c r="M11" s="31">
        <f>ROUND($D47*M$7/SQRT(M$7*($D47+$E47+$D$22*(1+$C$26/$C$25))+$C$26*$D$21*$D$21*(1+$C$26/$C$25)),1)</f>
        <v>5259</v>
      </c>
      <c r="N11" s="31">
        <f>ROUND($D47*N$7/SQRT(N$7*($D47+$E47+$D$22*(1+$C$26/$C$25))+$C$26*$D$21*$D$21*(1+$C$26/$C$25)),1)</f>
        <v>8315.2</v>
      </c>
      <c r="O11" s="31">
        <f>ROUND($D47*O$7/SQRT(O$7*($D47+$E47+$D$22*(1+$C$26/$C$25))+$C$26*$D$21*$D$21*(1+$C$26/$C$25)),1)</f>
        <v>11759.5</v>
      </c>
      <c r="P11" s="32">
        <f>ROUND($D47*P$7/SQRT(P$7*($D47+$E47+$D$22*(1+$C$26/$C$25))+$C$26*$D$21*$D$21*(1+$C$26/$C$25)),1)</f>
        <v>16630.4</v>
      </c>
      <c r="R11" s="41">
        <f t="shared" si="0"/>
        <v>6000</v>
      </c>
      <c r="S11" s="21">
        <v>1109</v>
      </c>
      <c r="T11" s="42">
        <v>0.74</v>
      </c>
      <c r="U11" s="49">
        <v>1</v>
      </c>
      <c r="V11" s="71">
        <v>0.75</v>
      </c>
      <c r="W11" s="21">
        <f>MIN(ROUND(T11*((1/T11)^(C$37/Y11)),3),1)</f>
        <v>0.766</v>
      </c>
      <c r="X11" s="21">
        <f>S11*V11*U11*W11</f>
        <v>637.1205</v>
      </c>
      <c r="Y11" s="25">
        <v>3500</v>
      </c>
      <c r="AA11" s="15">
        <v>0.75</v>
      </c>
      <c r="AB11" s="51">
        <v>0.25</v>
      </c>
      <c r="AC11" s="51">
        <v>0.48</v>
      </c>
    </row>
    <row r="12" spans="2:29" ht="15.75" thickBot="1">
      <c r="B12" s="8"/>
      <c r="C12" s="9"/>
      <c r="D12" s="10"/>
      <c r="H12" s="26">
        <f>B48</f>
        <v>12</v>
      </c>
      <c r="I12" s="30">
        <f>ROUND($D48*I$7/SQRT(I$7*($D48+$E48+$D$22*(1+$C$26/$C$25))+$C$26*$D$21*$D$21*(1+$C$26/$C$25)),2)</f>
        <v>66.96</v>
      </c>
      <c r="J12" s="31">
        <f>ROUND($D48*J$7/SQRT(J$7*($D48+$E48+$D$22*(1+$C$26/$C$25))+$C$26*$D$21*$D$21*(1+$C$26/$C$25)),2)</f>
        <v>219.01</v>
      </c>
      <c r="K12" s="31">
        <f>ROUND($D48*K$7/SQRT(K$7*($D48+$E48+$D$22*(1+$C$26/$C$25))+$C$26*$D$21*$D$21*(1+$C$26/$C$25)),2)</f>
        <v>538.21</v>
      </c>
      <c r="L12" s="31">
        <f>ROUND($D48*L$7/SQRT(L$7*($D48+$E48+$D$22*(1+$C$26/$C$25))+$C$26*$D$21*$D$21*(1+$C$26/$C$25)),2)</f>
        <v>1204.11</v>
      </c>
      <c r="M12" s="31">
        <f>ROUND($D48*M$7/SQRT(M$7*($D48+$E48+$D$22*(1+$C$26/$C$25))+$C$26*$D$21*$D$21*(1+$C$26/$C$25)),1)</f>
        <v>4171.7</v>
      </c>
      <c r="N12" s="31">
        <f>ROUND($D48*N$7/SQRT(N$7*($D48+$E48+$D$22*(1+$C$26/$C$25))+$C$26*$D$21*$D$21*(1+$C$26/$C$25)),1)</f>
        <v>6596</v>
      </c>
      <c r="O12" s="31">
        <f>ROUND($D48*O$7/SQRT(O$7*($D48+$E48+$D$22*(1+$C$26/$C$25))+$C$26*$D$21*$D$21*(1+$C$26/$C$25)),1)</f>
        <v>9328.2</v>
      </c>
      <c r="P12" s="32">
        <f>ROUND($D48*P$7/SQRT(P$7*($D48+$E48+$D$22*(1+$C$26/$C$25))+$C$26*$D$21*$D$21*(1+$C$26/$C$25)),1)</f>
        <v>13192</v>
      </c>
      <c r="R12" s="41">
        <f t="shared" si="0"/>
        <v>6500</v>
      </c>
      <c r="S12" s="21">
        <v>1077</v>
      </c>
      <c r="T12" s="42">
        <v>0.78</v>
      </c>
      <c r="U12" s="49">
        <v>1</v>
      </c>
      <c r="V12" s="71">
        <v>0.8</v>
      </c>
      <c r="W12" s="21">
        <f>MIN(ROUND(T12*((1/T12)^(C$37/Y12)),3),1)</f>
        <v>0.802</v>
      </c>
      <c r="X12" s="21">
        <f>S12*V12*U12*W12</f>
        <v>691.0032000000001</v>
      </c>
      <c r="Y12" s="25">
        <v>3500</v>
      </c>
      <c r="AA12" s="15">
        <v>0.8</v>
      </c>
      <c r="AB12" s="51">
        <v>0.29</v>
      </c>
      <c r="AC12" s="51">
        <v>0.41</v>
      </c>
    </row>
    <row r="13" spans="2:29" ht="15">
      <c r="B13" s="17" t="s">
        <v>9</v>
      </c>
      <c r="C13" s="16">
        <f>C11/C7/10</f>
        <v>4.807692307692308</v>
      </c>
      <c r="D13" s="18"/>
      <c r="H13" s="26">
        <f>B49</f>
        <v>12.5</v>
      </c>
      <c r="I13" s="30">
        <f>ROUND($D49*I$7/SQRT(I$7*($D49+$E49+$D$22*(1+$C$26/$C$25))+$C$26*$D$21*$D$21*(1+$C$26/$C$25)),2)</f>
        <v>51.99</v>
      </c>
      <c r="J13" s="31">
        <f>ROUND($D49*J$7/SQRT(J$7*($D49+$E49+$D$22*(1+$C$26/$C$25))+$C$26*$D$21*$D$21*(1+$C$26/$C$25)),2)</f>
        <v>173.21</v>
      </c>
      <c r="K13" s="31">
        <f>ROUND($D49*K$7/SQRT(K$7*($D49+$E49+$D$22*(1+$C$26/$C$25))+$C$26*$D$21*$D$21*(1+$C$26/$C$25)),2)</f>
        <v>426.44</v>
      </c>
      <c r="L13" s="31">
        <f>ROUND($D49*L$7/SQRT(L$7*($D49+$E49+$D$22*(1+$C$26/$C$25))+$C$26*$D$21*$D$21*(1+$C$26/$C$25)),2)</f>
        <v>954.34</v>
      </c>
      <c r="M13" s="31">
        <f>ROUND($D49*M$7/SQRT(M$7*($D49+$E49+$D$22*(1+$C$26/$C$25))+$C$26*$D$21*$D$21*(1+$C$26/$C$25)),1)</f>
        <v>3306.5</v>
      </c>
      <c r="N13" s="31">
        <f>ROUND($D49*N$7/SQRT(N$7*($D49+$E49+$D$22*(1+$C$26/$C$25))+$C$26*$D$21*$D$21*(1+$C$26/$C$25)),1)</f>
        <v>5228.2</v>
      </c>
      <c r="O13" s="31">
        <f>ROUND($D49*O$7/SQRT(O$7*($D49+$E49+$D$22*(1+$C$26/$C$25))+$C$26*$D$21*$D$21*(1+$C$26/$C$25)),1)</f>
        <v>7393.7</v>
      </c>
      <c r="P13" s="32">
        <f>ROUND($D49*P$7/SQRT(P$7*($D49+$E49+$D$22*(1+$C$26/$C$25))+$C$26*$D$21*$D$21*(1+$C$26/$C$25)),1)</f>
        <v>10456.4</v>
      </c>
      <c r="R13" s="41">
        <f t="shared" si="0"/>
        <v>7000</v>
      </c>
      <c r="S13" s="21">
        <v>1050</v>
      </c>
      <c r="T13" s="42">
        <v>0.81</v>
      </c>
      <c r="U13" s="49">
        <v>1</v>
      </c>
      <c r="V13" s="71">
        <v>0.7</v>
      </c>
      <c r="W13" s="21">
        <f>MIN(ROUND(T13*((1/T13)^(C$37/Y13)),3),1)</f>
        <v>0.83</v>
      </c>
      <c r="X13" s="21">
        <f>S13*V13*U13*W13</f>
        <v>610.05</v>
      </c>
      <c r="Y13" s="25">
        <v>3500</v>
      </c>
      <c r="AA13" s="15">
        <v>0.7</v>
      </c>
      <c r="AB13" s="51">
        <v>0.3</v>
      </c>
      <c r="AC13" s="51">
        <v>0.32</v>
      </c>
    </row>
    <row r="14" spans="2:29" ht="16.5" customHeight="1">
      <c r="B14" t="s">
        <v>11</v>
      </c>
      <c r="C14" s="15">
        <f>ROUND(PI()*(C7*C7-C8*C8)/4*C9*C10,2)</f>
        <v>1964.19</v>
      </c>
      <c r="D14" t="s">
        <v>12</v>
      </c>
      <c r="H14" s="26">
        <f>B50</f>
        <v>13</v>
      </c>
      <c r="I14" s="30">
        <f>ROUND($D50*I$7/SQRT(I$7*($D50+$E50+$D$22*(1+$C$26/$C$25))+$C$26*$D$21*$D$21*(1+$C$26/$C$25)),2)</f>
        <v>39.92</v>
      </c>
      <c r="J14" s="31">
        <f>ROUND($D50*J$7/SQRT(J$7*($D50+$E50+$D$22*(1+$C$26/$C$25))+$C$26*$D$21*$D$21*(1+$C$26/$C$25)),2)</f>
        <v>136.64</v>
      </c>
      <c r="K14" s="31">
        <f>ROUND($D50*K$7/SQRT(K$7*($D50+$E50+$D$22*(1+$C$26/$C$25))+$C$26*$D$21*$D$21*(1+$C$26/$C$25)),2)</f>
        <v>337.39</v>
      </c>
      <c r="L14" s="31">
        <f>ROUND($D50*L$7/SQRT(L$7*($D50+$E50+$D$22*(1+$C$26/$C$25))+$C$26*$D$21*$D$21*(1+$C$26/$C$25)),2)</f>
        <v>755.41</v>
      </c>
      <c r="M14" s="31">
        <f>ROUND($D50*M$7/SQRT(M$7*($D50+$E50+$D$22*(1+$C$26/$C$25))+$C$26*$D$21*$D$21*(1+$C$26/$C$25)),1)</f>
        <v>2617.6</v>
      </c>
      <c r="N14" s="31">
        <f>ROUND($D50*N$7/SQRT(N$7*($D50+$E50+$D$22*(1+$C$26/$C$25))+$C$26*$D$21*$D$21*(1+$C$26/$C$25)),1)</f>
        <v>4138.8</v>
      </c>
      <c r="O14" s="31">
        <f>ROUND($D50*O$7/SQRT(O$7*($D50+$E50+$D$22*(1+$C$26/$C$25))+$C$26*$D$21*$D$21*(1+$C$26/$C$25)),1)</f>
        <v>5853.2</v>
      </c>
      <c r="P14" s="32">
        <f>ROUND($D50*P$7/SQRT(P$7*($D50+$E50+$D$22*(1+$C$26/$C$25))+$C$26*$D$21*$D$21*(1+$C$26/$C$25)),1)</f>
        <v>8277.7</v>
      </c>
      <c r="R14" s="41">
        <f t="shared" si="0"/>
        <v>7500</v>
      </c>
      <c r="S14" s="21">
        <v>1002</v>
      </c>
      <c r="T14" s="42">
        <v>0.82</v>
      </c>
      <c r="U14" s="49">
        <v>1</v>
      </c>
      <c r="V14" s="71">
        <v>0.55</v>
      </c>
      <c r="W14" s="21">
        <f>MIN(ROUND(T14*((1/T14)^(C$37/Y14)),3),1)</f>
        <v>0.839</v>
      </c>
      <c r="X14" s="21">
        <f>S14*V14*U14*W14</f>
        <v>462.3729</v>
      </c>
      <c r="Y14" s="25">
        <v>3400</v>
      </c>
      <c r="AA14" s="15">
        <v>0.55</v>
      </c>
      <c r="AB14" s="51">
        <v>0.24</v>
      </c>
      <c r="AC14" s="51">
        <v>0.22</v>
      </c>
    </row>
    <row r="15" spans="2:29" ht="15">
      <c r="B15" s="12" t="s">
        <v>32</v>
      </c>
      <c r="C15" s="15">
        <f>X21</f>
        <v>2348926.5874999994</v>
      </c>
      <c r="D15" t="s">
        <v>14</v>
      </c>
      <c r="H15" s="26">
        <f>B51</f>
        <v>13.5</v>
      </c>
      <c r="I15" s="30">
        <f>ROUND($D51*I$7/SQRT(I$7*($D51+$E51+$D$22*(1+$C$26/$C$25))+$C$26*$D$21*$D$21*(1+$C$26/$C$25)),2)</f>
        <v>30.18</v>
      </c>
      <c r="J15" s="31">
        <f>ROUND($D51*J$7/SQRT(J$7*($D51+$E51+$D$22*(1+$C$26/$C$25))+$C$26*$D$21*$D$21*(1+$C$26/$C$25)),2)</f>
        <v>107.38</v>
      </c>
      <c r="K15" s="31">
        <f>ROUND($D51*K$7/SQRT(K$7*($D51+$E51+$D$22*(1+$C$26/$C$25))+$C$26*$D$21*$D$21*(1+$C$26/$C$25)),2)</f>
        <v>266.34</v>
      </c>
      <c r="L15" s="31">
        <f>ROUND($D51*L$7/SQRT(L$7*($D51+$E51+$D$22*(1+$C$26/$C$25))+$C$26*$D$21*$D$21*(1+$C$26/$C$25)),2)</f>
        <v>596.75</v>
      </c>
      <c r="M15" s="31">
        <f>ROUND($D51*M$7/SQRT(M$7*($D51+$E51+$D$22*(1+$C$26/$C$25))+$C$26*$D$21*$D$21*(1+$C$26/$C$25)),1)</f>
        <v>2068.2</v>
      </c>
      <c r="N15" s="31">
        <f>ROUND($D51*N$7/SQRT(N$7*($D51+$E51+$D$22*(1+$C$26/$C$25))+$C$26*$D$21*$D$21*(1+$C$26/$C$25)),1)</f>
        <v>3270.2</v>
      </c>
      <c r="O15" s="31">
        <f>ROUND($D51*O$7/SQRT(O$7*($D51+$E51+$D$22*(1+$C$26/$C$25))+$C$26*$D$21*$D$21*(1+$C$26/$C$25)),1)</f>
        <v>4624.7</v>
      </c>
      <c r="P15" s="32">
        <f>ROUND($D51*P$7/SQRT(P$7*($D51+$E51+$D$22*(1+$C$26/$C$25))+$C$26*$D$21*$D$21*(1+$C$26/$C$25)),1)</f>
        <v>6540.4</v>
      </c>
      <c r="R15" s="41">
        <f>R14+500</f>
        <v>8000</v>
      </c>
      <c r="S15" s="21">
        <v>958</v>
      </c>
      <c r="T15" s="42">
        <v>0.79</v>
      </c>
      <c r="U15" s="49">
        <v>1</v>
      </c>
      <c r="V15" s="71">
        <v>0.5</v>
      </c>
      <c r="W15" s="21">
        <f>MIN(ROUND(T15*((1/T15)^(C$37/Y15)),3),1)</f>
        <v>0.812</v>
      </c>
      <c r="X15" s="21">
        <f>S15*V15*U15*W15</f>
        <v>388.94800000000004</v>
      </c>
      <c r="Y15" s="25">
        <v>3400</v>
      </c>
      <c r="AA15" s="15">
        <v>0.5</v>
      </c>
      <c r="AB15" s="51">
        <v>0.24</v>
      </c>
      <c r="AC15" s="51">
        <v>0.16</v>
      </c>
    </row>
    <row r="16" spans="2:29" ht="15">
      <c r="B16" t="s">
        <v>13</v>
      </c>
      <c r="C16" s="15">
        <f>C15*C14</f>
        <v>4613738113.901624</v>
      </c>
      <c r="D16" t="s">
        <v>14</v>
      </c>
      <c r="H16" s="26">
        <f>B52</f>
        <v>14</v>
      </c>
      <c r="I16" s="30">
        <f>ROUND($D52*I$7/SQRT(I$7*($D52+$E52+$D$22*(1+$C$26/$C$25))+$C$26*$D$21*$D$21*(1+$C$26/$C$25)),2)</f>
        <v>22.36</v>
      </c>
      <c r="J16" s="31">
        <f>ROUND($D52*J$7/SQRT(J$7*($D52+$E52+$D$22*(1+$C$26/$C$25))+$C$26*$D$21*$D$21*(1+$C$26/$C$25)),2)</f>
        <v>83.9</v>
      </c>
      <c r="K16" s="31">
        <f>ROUND($D52*K$7/SQRT(K$7*($D52+$E52+$D$22*(1+$C$26/$C$25))+$C$26*$D$21*$D$21*(1+$C$26/$C$25)),2)</f>
        <v>209.51</v>
      </c>
      <c r="L16" s="31">
        <f>ROUND($D52*L$7/SQRT(L$7*($D52+$E52+$D$22*(1+$C$26/$C$25))+$C$26*$D$21*$D$21*(1+$C$26/$C$25)),2)</f>
        <v>469.96</v>
      </c>
      <c r="M16" s="31">
        <f>ROUND($D52*M$7/SQRT(M$7*($D52+$E52+$D$22*(1+$C$26/$C$25))+$C$26*$D$21*$D$21*(1+$C$26/$C$25)),1)</f>
        <v>1629.2</v>
      </c>
      <c r="N16" s="31">
        <f>ROUND($D52*N$7/SQRT(N$7*($D52+$E52+$D$22*(1+$C$26/$C$25))+$C$26*$D$21*$D$21*(1+$C$26/$C$25)),1)</f>
        <v>2576.1</v>
      </c>
      <c r="O16" s="31">
        <f>ROUND($D52*O$7/SQRT(O$7*($D52+$E52+$D$22*(1+$C$26/$C$25))+$C$26*$D$21*$D$21*(1+$C$26/$C$25)),1)</f>
        <v>3643.2</v>
      </c>
      <c r="P16" s="32">
        <f>ROUND($D52*P$7/SQRT(P$7*($D52+$E52+$D$22*(1+$C$26/$C$25))+$C$26*$D$21*$D$21*(1+$C$26/$C$25)),1)</f>
        <v>5152.2</v>
      </c>
      <c r="R16" s="41">
        <f>R15+500</f>
        <v>8500</v>
      </c>
      <c r="S16" s="21">
        <v>895</v>
      </c>
      <c r="T16" s="42">
        <v>0.8</v>
      </c>
      <c r="U16" s="49">
        <v>1</v>
      </c>
      <c r="V16" s="71">
        <v>0.35</v>
      </c>
      <c r="W16" s="21">
        <f>MIN(ROUND(T16*((1/T16)^(C$37/Y16)),3),1)</f>
        <v>0.821</v>
      </c>
      <c r="X16" s="21">
        <f>S16*V16*U16*W16</f>
        <v>257.17825</v>
      </c>
      <c r="Y16" s="25">
        <v>3400</v>
      </c>
      <c r="AA16" s="15">
        <v>0.35</v>
      </c>
      <c r="AB16" s="51">
        <v>0.2</v>
      </c>
      <c r="AC16" s="51">
        <v>0.08</v>
      </c>
    </row>
    <row r="17" spans="2:29" ht="15">
      <c r="B17" t="s">
        <v>59</v>
      </c>
      <c r="C17">
        <f>ROUND(0.001*2*1.22*0.55*C13,4)</f>
        <v>0.0065</v>
      </c>
      <c r="D17" t="s">
        <v>7</v>
      </c>
      <c r="H17" s="26">
        <f>B53</f>
        <v>14.5</v>
      </c>
      <c r="I17" s="30">
        <f>ROUND($D53*I$7/SQRT(I$7*($D53+$E53+$D$22*(1+$C$26/$C$25))+$C$26*$D$21*$D$21*(1+$C$26/$C$25)),2)</f>
        <v>16.17</v>
      </c>
      <c r="J17" s="31">
        <f>ROUND($D53*J$7/SQRT(J$7*($D53+$E53+$D$22*(1+$C$26/$C$25))+$C$26*$D$21*$D$21*(1+$C$26/$C$25)),2)</f>
        <v>64.99</v>
      </c>
      <c r="K17" s="31">
        <f>ROUND($D53*K$7/SQRT(K$7*($D53+$E53+$D$22*(1+$C$26/$C$25))+$C$26*$D$21*$D$21*(1+$C$26/$C$25)),2)</f>
        <v>163.94</v>
      </c>
      <c r="L17" s="31">
        <f>ROUND($D53*L$7/SQRT(L$7*($D53+$E53+$D$22*(1+$C$26/$C$25))+$C$26*$D$21*$D$21*(1+$C$26/$C$25)),2)</f>
        <v>368.37</v>
      </c>
      <c r="M17" s="31">
        <f>ROUND($D53*M$7/SQRT(M$7*($D53+$E53+$D$22*(1+$C$26/$C$25))+$C$26*$D$21*$D$21*(1+$C$26/$C$25)),1)</f>
        <v>1277.5</v>
      </c>
      <c r="N17" s="31">
        <f>ROUND($D53*N$7/SQRT(N$7*($D53+$E53+$D$22*(1+$C$26/$C$25))+$C$26*$D$21*$D$21*(1+$C$26/$C$25)),1)</f>
        <v>2020</v>
      </c>
      <c r="O17" s="31">
        <f>ROUND($D53*O$7/SQRT(O$7*($D53+$E53+$D$22*(1+$C$26/$C$25))+$C$26*$D$21*$D$21*(1+$C$26/$C$25)),1)</f>
        <v>2856.8</v>
      </c>
      <c r="P17" s="32">
        <f>ROUND($D53*P$7/SQRT(P$7*($D53+$E53+$D$22*(1+$C$26/$C$25))+$C$26*$D$21*$D$21*(1+$C$26/$C$25)),1)</f>
        <v>4040.2</v>
      </c>
      <c r="R17" s="41">
        <f t="shared" si="0"/>
        <v>9000</v>
      </c>
      <c r="S17" s="21">
        <v>851</v>
      </c>
      <c r="T17" s="42">
        <v>0.86</v>
      </c>
      <c r="U17" s="49">
        <v>1</v>
      </c>
      <c r="V17" s="71">
        <v>0.25</v>
      </c>
      <c r="W17" s="21">
        <f>MIN(ROUND(T17*((1/T17)^(C$37/Y17)),3),1)</f>
        <v>0.875</v>
      </c>
      <c r="X17" s="21">
        <f>S17*V17*U17*W17</f>
        <v>186.15625</v>
      </c>
      <c r="Y17" s="25">
        <v>3400</v>
      </c>
      <c r="AA17" s="15">
        <v>0.25</v>
      </c>
      <c r="AB17" s="51">
        <v>0.15</v>
      </c>
      <c r="AC17" s="51">
        <v>0</v>
      </c>
    </row>
    <row r="18" spans="2:29" ht="15.75" thickBot="1">
      <c r="B18" t="s">
        <v>59</v>
      </c>
      <c r="C18">
        <f>ROUND(C17*180*3600/PI()/C11,3)</f>
        <v>0.536</v>
      </c>
      <c r="D18" t="s">
        <v>8</v>
      </c>
      <c r="H18" s="26">
        <f>B54</f>
        <v>15</v>
      </c>
      <c r="I18" s="30">
        <f>ROUND($D54*I$7/SQRT(I$7*($D54+$E54+$D$22*(1+$C$26/$C$25))+$C$26*$D$21*$D$21*(1+$C$26/$C$25)),2)</f>
        <v>11.39</v>
      </c>
      <c r="J18" s="31">
        <f>ROUND($D54*J$7/SQRT(J$7*($D54+$E54+$D$22*(1+$C$26/$C$25))+$C$26*$D$21*$D$21*(1+$C$26/$C$25)),2)</f>
        <v>49.73</v>
      </c>
      <c r="K18" s="31">
        <f>ROUND($D54*K$7/SQRT(K$7*($D54+$E54+$D$22*(1+$C$26/$C$25))+$C$26*$D$21*$D$21*(1+$C$26/$C$25)),2)</f>
        <v>127.27</v>
      </c>
      <c r="L18" s="31">
        <f>ROUND($D54*L$7/SQRT(L$7*($D54+$E54+$D$22*(1+$C$26/$C$25))+$C$26*$D$21*$D$21*(1+$C$26/$C$25)),2)</f>
        <v>286.69</v>
      </c>
      <c r="M18" s="31">
        <f>ROUND($D54*M$7/SQRT(M$7*($D54+$E54+$D$22*(1+$C$26/$C$25))+$C$26*$D$21*$D$21*(1+$C$26/$C$25)),1)</f>
        <v>994.8</v>
      </c>
      <c r="N18" s="31">
        <f>ROUND($D54*N$7/SQRT(N$7*($D54+$E54+$D$22*(1+$C$26/$C$25))+$C$26*$D$21*$D$21*(1+$C$26/$C$25)),1)</f>
        <v>1573.1</v>
      </c>
      <c r="O18" s="31">
        <f>ROUND($D54*O$7/SQRT(O$7*($D54+$E54+$D$22*(1+$C$26/$C$25))+$C$26*$D$21*$D$21*(1+$C$26/$C$25)),1)</f>
        <v>2224.8</v>
      </c>
      <c r="P18" s="32">
        <f>ROUND($D54*P$7/SQRT(P$7*($D54+$E54+$D$22*(1+$C$26/$C$25))+$C$26*$D$21*$D$21*(1+$C$26/$C$25)),1)</f>
        <v>3146.4</v>
      </c>
      <c r="R18" s="41">
        <f t="shared" si="0"/>
        <v>9500</v>
      </c>
      <c r="S18" s="21">
        <v>811</v>
      </c>
      <c r="T18" s="42">
        <v>0.93</v>
      </c>
      <c r="U18" s="49">
        <v>1</v>
      </c>
      <c r="V18" s="71">
        <v>0.15</v>
      </c>
      <c r="W18" s="21">
        <f>MIN(ROUND(T18*((1/T18)^(C$37/Y18)),3),1)</f>
        <v>0.938</v>
      </c>
      <c r="X18" s="21">
        <f>S18*V18*U18*W18</f>
        <v>114.10769999999998</v>
      </c>
      <c r="Y18" s="25">
        <v>3400</v>
      </c>
      <c r="AA18" s="15">
        <v>0.15</v>
      </c>
      <c r="AB18" s="51">
        <v>0.07</v>
      </c>
      <c r="AC18" s="51">
        <v>0</v>
      </c>
    </row>
    <row r="19" spans="2:29" ht="18" thickBot="1">
      <c r="B19" s="62" t="s">
        <v>67</v>
      </c>
      <c r="C19" s="63"/>
      <c r="D19" s="63"/>
      <c r="E19" s="65"/>
      <c r="H19" s="26">
        <f>B55</f>
        <v>15.5</v>
      </c>
      <c r="I19" s="30">
        <f>ROUND($D55*I$7/SQRT(I$7*($D55+$E55+$D$22*(1+$C$26/$C$25))+$C$26*$D$21*$D$21*(1+$C$26/$C$25)),2)</f>
        <v>7.82</v>
      </c>
      <c r="J19" s="31">
        <f>ROUND($D55*J$7/SQRT(J$7*($D55+$E55+$D$22*(1+$C$26/$C$25))+$C$26*$D$21*$D$21*(1+$C$26/$C$25)),2)</f>
        <v>37.43</v>
      </c>
      <c r="K19" s="31">
        <f>ROUND($D55*K$7/SQRT(K$7*($D55+$E55+$D$22*(1+$C$26/$C$25))+$C$26*$D$21*$D$21*(1+$C$26/$C$25)),2)</f>
        <v>97.69</v>
      </c>
      <c r="L19" s="31">
        <f>ROUND($D55*L$7/SQRT(L$7*($D55+$E55+$D$22*(1+$C$26/$C$25))+$C$26*$D$21*$D$21*(1+$C$26/$C$25)),2)</f>
        <v>220.84</v>
      </c>
      <c r="M19" s="31">
        <f>ROUND($D55*M$7/SQRT(M$7*($D55+$E55+$D$22*(1+$C$26/$C$25))+$C$26*$D$21*$D$21*(1+$C$26/$C$25)),1)</f>
        <v>767</v>
      </c>
      <c r="N19" s="31">
        <f>ROUND($D55*N$7/SQRT(N$7*($D55+$E55+$D$22*(1+$C$26/$C$25))+$C$26*$D$21*$D$21*(1+$C$26/$C$25)),1)</f>
        <v>1212.8</v>
      </c>
      <c r="O19" s="31">
        <f>ROUND($D55*O$7/SQRT(O$7*($D55+$E55+$D$22*(1+$C$26/$C$25))+$C$26*$D$21*$D$21*(1+$C$26/$C$25)),1)</f>
        <v>1715.3</v>
      </c>
      <c r="P19" s="32">
        <f>ROUND($D55*P$7/SQRT(P$7*($D55+$E55+$D$22*(1+$C$26/$C$25))+$C$26*$D$21*$D$21*(1+$C$26/$C$25)),1)</f>
        <v>2425.8</v>
      </c>
      <c r="R19" s="43">
        <f t="shared" si="0"/>
        <v>10000</v>
      </c>
      <c r="S19" s="44">
        <v>755</v>
      </c>
      <c r="T19" s="45">
        <v>0.97</v>
      </c>
      <c r="U19" s="72">
        <v>1</v>
      </c>
      <c r="V19" s="73">
        <v>0.05</v>
      </c>
      <c r="W19" s="44">
        <f>MIN(ROUND(T19*((1/T19)^(C$37/Y19)),3),1)</f>
        <v>0.973</v>
      </c>
      <c r="X19" s="44">
        <f>S19*V19*U19*W19</f>
        <v>36.73075</v>
      </c>
      <c r="Y19" s="46">
        <v>3400</v>
      </c>
      <c r="AA19" s="15">
        <v>0.05</v>
      </c>
      <c r="AB19" s="51">
        <v>0.04</v>
      </c>
      <c r="AC19" s="51">
        <v>0</v>
      </c>
    </row>
    <row r="20" spans="2:16" ht="17.25">
      <c r="B20" s="61" t="s">
        <v>90</v>
      </c>
      <c r="C20" s="68">
        <v>1</v>
      </c>
      <c r="D20" s="76"/>
      <c r="E20" s="69"/>
      <c r="H20" s="26">
        <f>B56</f>
        <v>16</v>
      </c>
      <c r="I20" s="30">
        <f>ROUND($D56*I$7/SQRT(I$7*($D56+$E56+$D$22*(1+$C$26/$C$25))+$C$26*$D$21*$D$21*(1+$C$26/$C$25)),2)</f>
        <v>5.25</v>
      </c>
      <c r="J20" s="31">
        <f>ROUND($D56*J$7/SQRT(J$7*($D56+$E56+$D$22*(1+$C$26/$C$25))+$C$26*$D$21*$D$21*(1+$C$26/$C$25)),2)</f>
        <v>27.58</v>
      </c>
      <c r="K20" s="31">
        <f>ROUND($D56*K$7/SQRT(K$7*($D56+$E56+$D$22*(1+$C$26/$C$25))+$C$26*$D$21*$D$21*(1+$C$26/$C$25)),2)</f>
        <v>73.81</v>
      </c>
      <c r="L20" s="31">
        <f>ROUND($D56*L$7/SQRT(L$7*($D56+$E56+$D$22*(1+$C$26/$C$25))+$C$26*$D$21*$D$21*(1+$C$26/$C$25)),2)</f>
        <v>167.68</v>
      </c>
      <c r="M20" s="31">
        <f>ROUND($D56*M$7/SQRT(M$7*($D56+$E56+$D$22*(1+$C$26/$C$25))+$C$26*$D$21*$D$21*(1+$C$26/$C$25)),1)</f>
        <v>583</v>
      </c>
      <c r="N20" s="31">
        <f>ROUND($D56*N$7/SQRT(N$7*($D56+$E56+$D$22*(1+$C$26/$C$25))+$C$26*$D$21*$D$21*(1+$C$26/$C$25)),1)</f>
        <v>922</v>
      </c>
      <c r="O20" s="31">
        <f>ROUND($D56*O$7/SQRT(O$7*($D56+$E56+$D$22*(1+$C$26/$C$25))+$C$26*$D$21*$D$21*(1+$C$26/$C$25)),1)</f>
        <v>1304</v>
      </c>
      <c r="P20" s="32">
        <f>ROUND($D56*P$7/SQRT(P$7*($D56+$E56+$D$22*(1+$C$26/$C$25))+$C$26*$D$21*$D$21*(1+$C$26/$C$25)),1)</f>
        <v>1844.2</v>
      </c>
    </row>
    <row r="21" spans="2:24" ht="15">
      <c r="B21" s="5" t="s">
        <v>15</v>
      </c>
      <c r="C21" s="68">
        <v>4</v>
      </c>
      <c r="D21" s="16">
        <f>(1-C20)*SQRT(C24*C24)*C21+C20*C21</f>
        <v>4</v>
      </c>
      <c r="E21" s="77" t="s">
        <v>16</v>
      </c>
      <c r="F21" s="18"/>
      <c r="H21" s="26">
        <f>B57</f>
        <v>16.5</v>
      </c>
      <c r="I21" s="30">
        <f>ROUND($D57*I$7/SQRT(I$7*($D57+$E57+$D$22*(1+$C$26/$C$25))+$C$26*$D$21*$D$21*(1+$C$26/$C$25)),2)</f>
        <v>3.46</v>
      </c>
      <c r="J21" s="31">
        <f>ROUND($D57*J$7/SQRT(J$7*($D57+$E57+$D$22*(1+$C$26/$C$25))+$C$26*$D$21*$D$21*(1+$C$26/$C$25)),2)</f>
        <v>19.82</v>
      </c>
      <c r="K21" s="31">
        <f>ROUND($D57*K$7/SQRT(K$7*($D57+$E57+$D$22*(1+$C$26/$C$25))+$C$26*$D$21*$D$21*(1+$C$26/$C$25)),2)</f>
        <v>54.66</v>
      </c>
      <c r="L21" s="31">
        <f>ROUND($D57*L$7/SQRT(L$7*($D57+$E57+$D$22*(1+$C$26/$C$25))+$C$26*$D$21*$D$21*(1+$C$26/$C$25)),2)</f>
        <v>124.92</v>
      </c>
      <c r="M21" s="31">
        <f>ROUND($D57*M$7/SQRT(M$7*($D57+$E57+$D$22*(1+$C$26/$C$25))+$C$26*$D$21*$D$21*(1+$C$26/$C$25)),1)</f>
        <v>435</v>
      </c>
      <c r="N21" s="31">
        <f>ROUND($D57*N$7/SQRT(N$7*($D57+$E57+$D$22*(1+$C$26/$C$25))+$C$26*$D$21*$D$21*(1+$C$26/$C$25)),1)</f>
        <v>687.9</v>
      </c>
      <c r="O21" s="31">
        <f>ROUND($D57*O$7/SQRT(O$7*($D57+$E57+$D$22*(1+$C$26/$C$25))+$C$26*$D$21*$D$21*(1+$C$26/$C$25)),1)</f>
        <v>973</v>
      </c>
      <c r="P21" s="32">
        <f>ROUND($D57*P$7/SQRT(P$7*($D57+$E57+$D$22*(1+$C$26/$C$25))+$C$26*$D$21*$D$21*(1+$C$26/$C$25)),1)</f>
        <v>1376.1</v>
      </c>
      <c r="U21" s="15">
        <f>SUM(U7:U19)</f>
        <v>13</v>
      </c>
      <c r="X21">
        <f>500*(SUM(X8:X18)+0.5*(X7+X19))/C$42</f>
        <v>2348926.5874999994</v>
      </c>
    </row>
    <row r="22" spans="2:16" ht="15">
      <c r="B22" s="5" t="s">
        <v>17</v>
      </c>
      <c r="C22" s="68">
        <v>0.5</v>
      </c>
      <c r="D22" s="16">
        <f>C24*C24*C22</f>
        <v>0.5</v>
      </c>
      <c r="E22" s="77" t="s">
        <v>18</v>
      </c>
      <c r="F22" s="18"/>
      <c r="H22" s="26">
        <f>B58</f>
        <v>17</v>
      </c>
      <c r="I22" s="30">
        <f>ROUND($D58*I$7/SQRT(I$7*($D58+$E58+$D$22*(1+$C$26/$C$25))+$C$26*$D$21*$D$21*(1+$C$26/$C$25)),2)</f>
        <v>2.25</v>
      </c>
      <c r="J22" s="31">
        <f>ROUND($D58*J$7/SQRT(J$7*($D58+$E58+$D$22*(1+$C$26/$C$25))+$C$26*$D$21*$D$21*(1+$C$26/$C$25)),2)</f>
        <v>13.88</v>
      </c>
      <c r="K22" s="31">
        <f>ROUND($D58*K$7/SQRT(K$7*($D58+$E58+$D$22*(1+$C$26/$C$25))+$C$26*$D$21*$D$21*(1+$C$26/$C$25)),2)</f>
        <v>39.51</v>
      </c>
      <c r="L22" s="31">
        <f>ROUND($D58*L$7/SQRT(L$7*($D58+$E58+$D$22*(1+$C$26/$C$25))+$C$26*$D$21*$D$21*(1+$C$26/$C$25)),2)</f>
        <v>90.93</v>
      </c>
      <c r="M22" s="31">
        <f>ROUND($D58*M$7/SQRT(M$7*($D58+$E58+$D$22*(1+$C$26/$C$25))+$C$26*$D$21*$D$21*(1+$C$26/$C$25)),1)</f>
        <v>317.2</v>
      </c>
      <c r="N22" s="31">
        <f>ROUND($D58*N$7/SQRT(N$7*($D58+$E58+$D$22*(1+$C$26/$C$25))+$C$26*$D$21*$D$21*(1+$C$26/$C$25)),1)</f>
        <v>501.7</v>
      </c>
      <c r="O22" s="31">
        <f>ROUND($D58*O$7/SQRT(O$7*($D58+$E58+$D$22*(1+$C$26/$C$25))+$C$26*$D$21*$D$21*(1+$C$26/$C$25)),1)</f>
        <v>709.6</v>
      </c>
      <c r="P22" s="32">
        <f>ROUND($D58*P$7/SQRT(P$7*($D58+$E58+$D$22*(1+$C$26/$C$25))+$C$26*$D$21*$D$21*(1+$C$26/$C$25)),1)</f>
        <v>1003.6</v>
      </c>
    </row>
    <row r="23" spans="2:16" ht="15">
      <c r="B23" s="5" t="s">
        <v>20</v>
      </c>
      <c r="C23" s="68">
        <v>6.7</v>
      </c>
      <c r="D23" s="16">
        <f>C24*C23</f>
        <v>6.7</v>
      </c>
      <c r="E23" s="77" t="s">
        <v>21</v>
      </c>
      <c r="F23" s="18"/>
      <c r="H23" s="26">
        <f>B59</f>
        <v>17.5</v>
      </c>
      <c r="I23" s="30">
        <f>ROUND($D59*I$7/SQRT(I$7*($D59+$E59+$D$22*(1+$C$26/$C$25))+$C$26*$D$21*$D$21*(1+$C$26/$C$25)),2)</f>
        <v>1.45</v>
      </c>
      <c r="J23" s="31">
        <f>ROUND($D59*J$7/SQRT(J$7*($D59+$E59+$D$22*(1+$C$26/$C$25))+$C$26*$D$21*$D$21*(1+$C$26/$C$25)),2)</f>
        <v>9.47</v>
      </c>
      <c r="K23" s="31">
        <f>ROUND($D59*K$7/SQRT(K$7*($D59+$E59+$D$22*(1+$C$26/$C$25))+$C$26*$D$21*$D$21*(1+$C$26/$C$25)),2)</f>
        <v>27.82</v>
      </c>
      <c r="L23" s="31">
        <f>ROUND($D59*L$7/SQRT(L$7*($D59+$E59+$D$22*(1+$C$26/$C$25))+$C$26*$D$21*$D$21*(1+$C$26/$C$25)),2)</f>
        <v>64.51</v>
      </c>
      <c r="M23" s="31">
        <f>ROUND($D59*M$7/SQRT(M$7*($D59+$E59+$D$22*(1+$C$26/$C$25))+$C$26*$D$21*$D$21*(1+$C$26/$C$25)),1)</f>
        <v>225.4</v>
      </c>
      <c r="N23" s="31">
        <f>ROUND($D59*N$7/SQRT(N$7*($D59+$E59+$D$22*(1+$C$26/$C$25))+$C$26*$D$21*$D$21*(1+$C$26/$C$25)),1)</f>
        <v>356.6</v>
      </c>
      <c r="O23" s="31">
        <f>ROUND($D59*O$7/SQRT(O$7*($D59+$E59+$D$22*(1+$C$26/$C$25))+$C$26*$D$21*$D$21*(1+$C$26/$C$25)),1)</f>
        <v>504.4</v>
      </c>
      <c r="P23" s="32">
        <f>ROUND($D59*P$7/SQRT(P$7*($D59+$E59+$D$22*(1+$C$26/$C$25))+$C$26*$D$21*$D$21*(1+$C$26/$C$25)),1)</f>
        <v>713.3</v>
      </c>
    </row>
    <row r="24" spans="2:16" ht="15">
      <c r="B24" s="5" t="s">
        <v>66</v>
      </c>
      <c r="C24" s="6">
        <v>1</v>
      </c>
      <c r="D24" s="18"/>
      <c r="E24" s="66"/>
      <c r="H24" s="26">
        <f>B60</f>
        <v>18</v>
      </c>
      <c r="I24" s="30">
        <f>ROUND($D60*I$7/SQRT(I$7*($D60+$E60+$D$22*(1+$C$26/$C$25))+$C$26*$D$21*$D$21*(1+$C$26/$C$25)),2)</f>
        <v>0.92</v>
      </c>
      <c r="J24" s="31">
        <f>ROUND($D60*J$7/SQRT(J$7*($D60+$E60+$D$22*(1+$C$26/$C$25))+$C$26*$D$21*$D$21*(1+$C$26/$C$25)),2)</f>
        <v>6.33</v>
      </c>
      <c r="K24" s="31">
        <f>ROUND($D60*K$7/SQRT(K$7*($D60+$E60+$D$22*(1+$C$26/$C$25))+$C$26*$D$21*$D$21*(1+$C$26/$C$25)),2)</f>
        <v>19.1</v>
      </c>
      <c r="L24" s="31">
        <f>ROUND($D60*L$7/SQRT(L$7*($D60+$E60+$D$22*(1+$C$26/$C$25))+$C$26*$D$21*$D$21*(1+$C$26/$C$25)),2)</f>
        <v>44.58</v>
      </c>
      <c r="M24" s="31">
        <f>ROUND($D60*M$7/SQRT(M$7*($D60+$E60+$D$22*(1+$C$26/$C$25))+$C$26*$D$21*$D$21*(1+$C$26/$C$25)),1)</f>
        <v>156.1</v>
      </c>
      <c r="N24" s="31">
        <f>ROUND($D60*N$7/SQRT(N$7*($D60+$E60+$D$22*(1+$C$26/$C$25))+$C$26*$D$21*$D$21*(1+$C$26/$C$25)),1)</f>
        <v>246.9</v>
      </c>
      <c r="O24" s="31">
        <f>ROUND($D60*O$7/SQRT(O$7*($D60+$E60+$D$22*(1+$C$26/$C$25))+$C$26*$D$21*$D$21*(1+$C$26/$C$25)),1)</f>
        <v>349.2</v>
      </c>
      <c r="P24" s="32">
        <f>ROUND($D60*P$7/SQRT(P$7*($D60+$E60+$D$22*(1+$C$26/$C$25))+$C$26*$D$21*$D$21*(1+$C$26/$C$25)),1)</f>
        <v>494</v>
      </c>
    </row>
    <row r="25" spans="2:16" ht="15">
      <c r="B25" s="5" t="s">
        <v>22</v>
      </c>
      <c r="C25" s="6">
        <v>100</v>
      </c>
      <c r="D25" s="18"/>
      <c r="E25" s="66"/>
      <c r="H25" s="26">
        <f>B61</f>
        <v>18.5</v>
      </c>
      <c r="I25" s="30">
        <f>ROUND($D61*I$7/SQRT(I$7*($D61+$E61+$D$22*(1+$C$26/$C$25))+$C$26*$D$21*$D$21*(1+$C$26/$C$25)),2)</f>
        <v>0.59</v>
      </c>
      <c r="J25" s="31">
        <f>ROUND($D61*J$7/SQRT(J$7*($D61+$E61+$D$22*(1+$C$26/$C$25))+$C$26*$D$21*$D$21*(1+$C$26/$C$25)),2)</f>
        <v>4.15</v>
      </c>
      <c r="K25" s="31">
        <f>ROUND($D61*K$7/SQRT(K$7*($D61+$E61+$D$22*(1+$C$26/$C$25))+$C$26*$D$21*$D$21*(1+$C$26/$C$25)),2)</f>
        <v>12.81</v>
      </c>
      <c r="L25" s="31">
        <f>ROUND($D61*L$7/SQRT(L$7*($D61+$E61+$D$22*(1+$C$26/$C$25))+$C$26*$D$21*$D$21*(1+$C$26/$C$25)),2)</f>
        <v>30.09</v>
      </c>
      <c r="M25" s="31">
        <f>ROUND($D61*M$7/SQRT(M$7*($D61+$E61+$D$22*(1+$C$26/$C$25))+$C$26*$D$21*$D$21*(1+$C$26/$C$25)),1)</f>
        <v>105.5</v>
      </c>
      <c r="N25" s="31">
        <f>ROUND($D61*N$7/SQRT(N$7*($D61+$E61+$D$22*(1+$C$26/$C$25))+$C$26*$D$21*$D$21*(1+$C$26/$C$25)),1)</f>
        <v>166.9</v>
      </c>
      <c r="O25" s="31">
        <f>ROUND($D61*O$7/SQRT(O$7*($D61+$E61+$D$22*(1+$C$26/$C$25))+$C$26*$D$21*$D$21*(1+$C$26/$C$25)),1)</f>
        <v>236.1</v>
      </c>
      <c r="P25" s="32">
        <f>ROUND($D61*P$7/SQRT(P$7*($D61+$E61+$D$22*(1+$C$26/$C$25))+$C$26*$D$21*$D$21*(1+$C$26/$C$25)),1)</f>
        <v>333.9</v>
      </c>
    </row>
    <row r="26" spans="2:16" ht="15.75" thickBot="1">
      <c r="B26" s="8" t="s">
        <v>23</v>
      </c>
      <c r="C26" s="9">
        <v>20</v>
      </c>
      <c r="D26" s="74"/>
      <c r="E26" s="67"/>
      <c r="H26" s="26">
        <f>B62</f>
        <v>19</v>
      </c>
      <c r="I26" s="30">
        <f>ROUND($D62*I$7/SQRT(I$7*($D62+$E62+$D$22*(1+$C$26/$C$25))+$C$26*$D$21*$D$21*(1+$C$26/$C$25)),2)</f>
        <v>0.37</v>
      </c>
      <c r="J26" s="31">
        <f>ROUND($D62*J$7/SQRT(J$7*($D62+$E62+$D$22*(1+$C$26/$C$25))+$C$26*$D$21*$D$21*(1+$C$26/$C$25)),2)</f>
        <v>2.69</v>
      </c>
      <c r="K26" s="31">
        <f>ROUND($D62*K$7/SQRT(K$7*($D62+$E62+$D$22*(1+$C$26/$C$25))+$C$26*$D$21*$D$21*(1+$C$26/$C$25)),2)</f>
        <v>8.44</v>
      </c>
      <c r="L26" s="31">
        <f>ROUND($D62*L$7/SQRT(L$7*($D62+$E62+$D$22*(1+$C$26/$C$25))+$C$26*$D$21*$D$21*(1+$C$26/$C$25)),2)</f>
        <v>19.92</v>
      </c>
      <c r="M26" s="31">
        <f>ROUND($D62*M$7/SQRT(M$7*($D62+$E62+$D$22*(1+$C$26/$C$25))+$C$26*$D$21*$D$21*(1+$C$26/$C$25)),1)</f>
        <v>69.9</v>
      </c>
      <c r="N26" s="31">
        <f>ROUND($D62*N$7/SQRT(N$7*($D62+$E62+$D$22*(1+$C$26/$C$25))+$C$26*$D$21*$D$21*(1+$C$26/$C$25)),1)</f>
        <v>110.6</v>
      </c>
      <c r="O26" s="31">
        <f>ROUND($D62*O$7/SQRT(O$7*($D62+$E62+$D$22*(1+$C$26/$C$25))+$C$26*$D$21*$D$21*(1+$C$26/$C$25)),1)</f>
        <v>156.5</v>
      </c>
      <c r="P26" s="32">
        <f>ROUND($D62*P$7/SQRT(P$7*($D62+$E62+$D$22*(1+$C$26/$C$25))+$C$26*$D$21*$D$21*(1+$C$26/$C$25)),1)</f>
        <v>221.3</v>
      </c>
    </row>
    <row r="27" spans="2:16" ht="15">
      <c r="B27" s="12" t="s">
        <v>24</v>
      </c>
      <c r="C27" s="21">
        <f>ROUND(MAX(C39/2/SQRT(LN(2)),C28),3)</f>
        <v>1.201</v>
      </c>
      <c r="D27" s="11" t="s">
        <v>25</v>
      </c>
      <c r="H27" s="26">
        <f>B63</f>
        <v>19.5</v>
      </c>
      <c r="I27" s="30">
        <f>ROUND($D63*I$7/SQRT(I$7*($D63+$E63+$D$22*(1+$C$26/$C$25))+$C$26*$D$21*$D$21*(1+$C$26/$C$25)),2)</f>
        <v>0.24</v>
      </c>
      <c r="J27" s="31">
        <f>ROUND($D63*J$7/SQRT(J$7*($D63+$E63+$D$22*(1+$C$26/$C$25))+$C$26*$D$21*$D$21*(1+$C$26/$C$25)),2)</f>
        <v>1.73</v>
      </c>
      <c r="K27" s="31">
        <f>ROUND($D63*K$7/SQRT(K$7*($D63+$E63+$D$22*(1+$C$26/$C$25))+$C$26*$D$21*$D$21*(1+$C$26/$C$25)),2)</f>
        <v>5.48</v>
      </c>
      <c r="L27" s="31">
        <f>ROUND($D63*L$7/SQRT(L$7*($D63+$E63+$D$22*(1+$C$26/$C$25))+$C$26*$D$21*$D$21*(1+$C$26/$C$25)),2)</f>
        <v>12.98</v>
      </c>
      <c r="M27" s="31">
        <f>ROUND($D63*M$7/SQRT(M$7*($D63+$E63+$D$22*(1+$C$26/$C$25))+$C$26*$D$21*$D$21*(1+$C$26/$C$25)),1)</f>
        <v>45.6</v>
      </c>
      <c r="N27" s="31">
        <f>ROUND($D63*N$7/SQRT(N$7*($D63+$E63+$D$22*(1+$C$26/$C$25))+$C$26*$D$21*$D$21*(1+$C$26/$C$25)),1)</f>
        <v>72.2</v>
      </c>
      <c r="O27" s="31">
        <f>ROUND($D63*O$7/SQRT(O$7*($D63+$E63+$D$22*(1+$C$26/$C$25))+$C$26*$D$21*$D$21*(1+$C$26/$C$25)),1)</f>
        <v>102.1</v>
      </c>
      <c r="P27" s="32">
        <f>ROUND($D63*P$7/SQRT(P$7*($D63+$E63+$D$22*(1+$C$26/$C$25))+$C$26*$D$21*$D$21*(1+$C$26/$C$25)),1)</f>
        <v>144.4</v>
      </c>
    </row>
    <row r="28" spans="2:16" ht="15">
      <c r="B28" s="12" t="s">
        <v>60</v>
      </c>
      <c r="C28" s="21">
        <f>ROUND(0.001*0.618*0.55*C13*180/PI()*3600/C11,4)</f>
        <v>0.1348</v>
      </c>
      <c r="D28" s="12" t="s">
        <v>25</v>
      </c>
      <c r="H28" s="26">
        <f>B64</f>
        <v>20</v>
      </c>
      <c r="I28" s="30">
        <f>ROUND($D64*I$7/SQRT(I$7*($D64+$E64+$D$22*(1+$C$26/$C$25))+$C$26*$D$21*$D$21*(1+$C$26/$C$25)),2)</f>
        <v>0.15</v>
      </c>
      <c r="J28" s="31">
        <f>ROUND($D64*J$7/SQRT(J$7*($D64+$E64+$D$22*(1+$C$26/$C$25))+$C$26*$D$21*$D$21*(1+$C$26/$C$25)),2)</f>
        <v>1.1</v>
      </c>
      <c r="K28" s="31">
        <f>ROUND($D64*K$7/SQRT(K$7*($D64+$E64+$D$22*(1+$C$26/$C$25))+$C$26*$D$21*$D$21*(1+$C$26/$C$25)),2)</f>
        <v>3.53</v>
      </c>
      <c r="L28" s="31">
        <f>ROUND($D64*L$7/SQRT(L$7*($D64+$E64+$D$22*(1+$C$26/$C$25))+$C$26*$D$21*$D$21*(1+$C$26/$C$25)),2)</f>
        <v>8.37</v>
      </c>
      <c r="M28" s="31">
        <f>ROUND($D64*M$7/SQRT(M$7*($D64+$E64+$D$22*(1+$C$26/$C$25))+$C$26*$D$21*$D$21*(1+$C$26/$C$25)),1)</f>
        <v>29.4</v>
      </c>
      <c r="N28" s="31">
        <f>ROUND($D64*N$7/SQRT(N$7*($D64+$E64+$D$22*(1+$C$26/$C$25))+$C$26*$D$21*$D$21*(1+$C$26/$C$25)),1)</f>
        <v>46.6</v>
      </c>
      <c r="O28" s="31">
        <f>ROUND($D64*O$7/SQRT(O$7*($D64+$E64+$D$22*(1+$C$26/$C$25))+$C$26*$D$21*$D$21*(1+$C$26/$C$25)),1)</f>
        <v>65.9</v>
      </c>
      <c r="P28" s="32">
        <f>ROUND($D64*P$7/SQRT(P$7*($D64+$E64+$D$22*(1+$C$26/$C$25))+$C$26*$D$21*$D$21*(1+$C$26/$C$25)),1)</f>
        <v>93.2</v>
      </c>
    </row>
    <row r="29" spans="2:16" ht="15">
      <c r="B29" t="s">
        <v>26</v>
      </c>
      <c r="C29" s="15">
        <f>ROUND(3600*180/PI()*D23/C11/1000,3)</f>
        <v>0.553</v>
      </c>
      <c r="D29" t="s">
        <v>25</v>
      </c>
      <c r="H29" s="26">
        <f>B65</f>
        <v>20.5</v>
      </c>
      <c r="I29" s="30">
        <f>ROUND($D65*I$7/SQRT(I$7*($D65+$E65+$D$22*(1+$C$26/$C$25))+$C$26*$D$21*$D$21*(1+$C$26/$C$25)),2)</f>
        <v>0.09</v>
      </c>
      <c r="J29" s="31">
        <f>ROUND($D65*J$7/SQRT(J$7*($D65+$E65+$D$22*(1+$C$26/$C$25))+$C$26*$D$21*$D$21*(1+$C$26/$C$25)),2)</f>
        <v>0.7</v>
      </c>
      <c r="K29" s="31">
        <f>ROUND($D65*K$7/SQRT(K$7*($D65+$E65+$D$22*(1+$C$26/$C$25))+$C$26*$D$21*$D$21*(1+$C$26/$C$25)),2)</f>
        <v>2.25</v>
      </c>
      <c r="L29" s="31">
        <f>ROUND($D65*L$7/SQRT(L$7*($D65+$E65+$D$22*(1+$C$26/$C$25))+$C$26*$D$21*$D$21*(1+$C$26/$C$25)),2)</f>
        <v>5.36</v>
      </c>
      <c r="M29" s="31">
        <f>ROUND($D65*M$7/SQRT(M$7*($D65+$E65+$D$22*(1+$C$26/$C$25))+$C$26*$D$21*$D$21*(1+$C$26/$C$25)),1)</f>
        <v>18.8</v>
      </c>
      <c r="N29" s="31">
        <f>ROUND($D65*N$7/SQRT(N$7*($D65+$E65+$D$22*(1+$C$26/$C$25))+$C$26*$D$21*$D$21*(1+$C$26/$C$25)),1)</f>
        <v>29.8</v>
      </c>
      <c r="O29" s="31">
        <f>ROUND($D65*O$7/SQRT(O$7*($D65+$E65+$D$22*(1+$C$26/$C$25))+$C$26*$D$21*$D$21*(1+$C$26/$C$25)),1)</f>
        <v>42.2</v>
      </c>
      <c r="P29" s="32">
        <f>ROUND($D65*P$7/SQRT(P$7*($D65+$E65+$D$22*(1+$C$26/$C$25))+$C$26*$D$21*$D$21*(1+$C$26/$C$25)),1)</f>
        <v>59.7</v>
      </c>
    </row>
    <row r="30" spans="2:16" ht="15">
      <c r="B30" s="12" t="s">
        <v>27</v>
      </c>
      <c r="C30" s="15">
        <f>ROUND(C29*C29,3)</f>
        <v>0.306</v>
      </c>
      <c r="D30" s="13" t="s">
        <v>28</v>
      </c>
      <c r="H30" s="26">
        <f>B66</f>
        <v>21</v>
      </c>
      <c r="I30" s="30">
        <f>ROUND($D66*I$7/SQRT(I$7*($D66+$E66+$D$22*(1+$C$26/$C$25))+$C$26*$D$21*$D$21*(1+$C$26/$C$25)),2)</f>
        <v>0.06</v>
      </c>
      <c r="J30" s="31">
        <f>ROUND($D66*J$7/SQRT(J$7*($D66+$E66+$D$22*(1+$C$26/$C$25))+$C$26*$D$21*$D$21*(1+$C$26/$C$25)),2)</f>
        <v>0.44</v>
      </c>
      <c r="K30" s="31">
        <f>ROUND($D66*K$7/SQRT(K$7*($D66+$E66+$D$22*(1+$C$26/$C$25))+$C$26*$D$21*$D$21*(1+$C$26/$C$25)),2)</f>
        <v>1.43</v>
      </c>
      <c r="L30" s="31">
        <f>ROUND($D66*L$7/SQRT(L$7*($D66+$E66+$D$22*(1+$C$26/$C$25))+$C$26*$D$21*$D$21*(1+$C$26/$C$25)),2)</f>
        <v>3.41</v>
      </c>
      <c r="M30" s="31">
        <f>ROUND($D66*M$7/SQRT(M$7*($D66+$E66+$D$22*(1+$C$26/$C$25))+$C$26*$D$21*$D$21*(1+$C$26/$C$25)),1)</f>
        <v>12</v>
      </c>
      <c r="N30" s="31">
        <f>ROUND($D66*N$7/SQRT(N$7*($D66+$E66+$D$22*(1+$C$26/$C$25))+$C$26*$D$21*$D$21*(1+$C$26/$C$25)),1)</f>
        <v>19</v>
      </c>
      <c r="O30" s="31">
        <f>ROUND($D66*O$7/SQRT(O$7*($D66+$E66+$D$22*(1+$C$26/$C$25))+$C$26*$D$21*$D$21*(1+$C$26/$C$25)),1)</f>
        <v>26.9</v>
      </c>
      <c r="P30" s="32">
        <f>ROUND($D66*P$7/SQRT(P$7*($D66+$E66+$D$22*(1+$C$26/$C$25))+$C$26*$D$21*$D$21*(1+$C$26/$C$25)),1)</f>
        <v>38</v>
      </c>
    </row>
    <row r="31" spans="2:16" ht="15">
      <c r="B31" s="12" t="s">
        <v>34</v>
      </c>
      <c r="C31" s="15">
        <f>ROUND(C29/2/C27,4)</f>
        <v>0.2302</v>
      </c>
      <c r="H31" s="26">
        <f>B67</f>
        <v>21.5</v>
      </c>
      <c r="I31" s="30">
        <f>ROUND($D67*I$7/SQRT(I$7*($D67+$E67+$D$22*(1+$C$26/$C$25))+$C$26*$D$21*$D$21*(1+$C$26/$C$25)),2)</f>
        <v>0.04</v>
      </c>
      <c r="J31" s="31">
        <f>ROUND($D67*J$7/SQRT(J$7*($D67+$E67+$D$22*(1+$C$26/$C$25))+$C$26*$D$21*$D$21*(1+$C$26/$C$25)),2)</f>
        <v>0.28</v>
      </c>
      <c r="K31" s="31">
        <f>ROUND($D67*K$7/SQRT(K$7*($D67+$E67+$D$22*(1+$C$26/$C$25))+$C$26*$D$21*$D$21*(1+$C$26/$C$25)),2)</f>
        <v>0.91</v>
      </c>
      <c r="L31" s="31">
        <f>ROUND($D67*L$7/SQRT(L$7*($D67+$E67+$D$22*(1+$C$26/$C$25))+$C$26*$D$21*$D$21*(1+$C$26/$C$25)),2)</f>
        <v>2.17</v>
      </c>
      <c r="M31" s="31">
        <f>ROUND($D67*M$7/SQRT(M$7*($D67+$E67+$D$22*(1+$C$26/$C$25))+$C$26*$D$21*$D$21*(1+$C$26/$C$25)),1)</f>
        <v>7.6</v>
      </c>
      <c r="N31" s="31">
        <f>ROUND($D67*N$7/SQRT(N$7*($D67+$E67+$D$22*(1+$C$26/$C$25))+$C$26*$D$21*$D$21*(1+$C$26/$C$25)),1)</f>
        <v>12.1</v>
      </c>
      <c r="O31" s="31">
        <f>ROUND($D67*O$7/SQRT(O$7*($D67+$E67+$D$22*(1+$C$26/$C$25))+$C$26*$D$21*$D$21*(1+$C$26/$C$25)),1)</f>
        <v>17.1</v>
      </c>
      <c r="P31" s="32">
        <f>ROUND($D67*P$7/SQRT(P$7*($D67+$E67+$D$22*(1+$C$26/$C$25))+$C$26*$D$21*$D$21*(1+$C$26/$C$25)),1)</f>
        <v>24.1</v>
      </c>
    </row>
    <row r="32" spans="2:16" ht="15">
      <c r="B32" s="56" t="s">
        <v>61</v>
      </c>
      <c r="C32" s="57">
        <f>ROUND((MIN(((((0.074175*C31-0.228244)*C31-0.177181)*C31+1.173424)*C31),1))^2,4)</f>
        <v>0.0666</v>
      </c>
      <c r="D32" s="58"/>
      <c r="H32" s="26">
        <f>B68</f>
        <v>22</v>
      </c>
      <c r="I32" s="30">
        <f>ROUND($D68*I$7/SQRT(I$7*($D68+$E68+$D$22*(1+$C$26/$C$25))+$C$26*$D$21*$D$21*(1+$C$26/$C$25)),2)</f>
        <v>0.02</v>
      </c>
      <c r="J32" s="31">
        <f>ROUND($D68*J$7/SQRT(J$7*($D68+$E68+$D$22*(1+$C$26/$C$25))+$C$26*$D$21*$D$21*(1+$C$26/$C$25)),2)</f>
        <v>0.18</v>
      </c>
      <c r="K32" s="31">
        <f>ROUND($D68*K$7/SQRT(K$7*($D68+$E68+$D$22*(1+$C$26/$C$25))+$C$26*$D$21*$D$21*(1+$C$26/$C$25)),2)</f>
        <v>0.58</v>
      </c>
      <c r="L32" s="31">
        <f>ROUND($D68*L$7/SQRT(L$7*($D68+$E68+$D$22*(1+$C$26/$C$25))+$C$26*$D$21*$D$21*(1+$C$26/$C$25)),2)</f>
        <v>1.37</v>
      </c>
      <c r="M32" s="31">
        <f>ROUND($D68*M$7/SQRT(M$7*($D68+$E68+$D$22*(1+$C$26/$C$25))+$C$26*$D$21*$D$21*(1+$C$26/$C$25)),1)</f>
        <v>4.8</v>
      </c>
      <c r="N32" s="31">
        <f>ROUND($D68*N$7/SQRT(N$7*($D68+$E68+$D$22*(1+$C$26/$C$25))+$C$26*$D$21*$D$21*(1+$C$26/$C$25)),1)</f>
        <v>7.6</v>
      </c>
      <c r="O32" s="31">
        <f>ROUND($D68*O$7/SQRT(O$7*($D68+$E68+$D$22*(1+$C$26/$C$25))+$C$26*$D$21*$D$21*(1+$C$26/$C$25)),1)</f>
        <v>10.8</v>
      </c>
      <c r="P32" s="32">
        <f>ROUND($D68*P$7/SQRT(P$7*($D68+$E68+$D$22*(1+$C$26/$C$25))+$C$26*$D$21*$D$21*(1+$C$26/$C$25)),1)</f>
        <v>15.3</v>
      </c>
    </row>
    <row r="33" spans="2:16" ht="15.75" thickBot="1">
      <c r="B33" s="12"/>
      <c r="C33" s="15"/>
      <c r="H33" s="26">
        <f>B69</f>
        <v>22.5</v>
      </c>
      <c r="I33" s="30">
        <f>ROUND($D69*I$7/SQRT(I$7*($D69+$E69+$D$22*(1+$C$26/$C$25))+$C$26*$D$21*$D$21*(1+$C$26/$C$25)),2)</f>
        <v>0.01</v>
      </c>
      <c r="J33" s="31">
        <f>ROUND($D69*J$7/SQRT(J$7*($D69+$E69+$D$22*(1+$C$26/$C$25))+$C$26*$D$21*$D$21*(1+$C$26/$C$25)),2)</f>
        <v>0.11</v>
      </c>
      <c r="K33" s="31">
        <f>ROUND($D69*K$7/SQRT(K$7*($D69+$E69+$D$22*(1+$C$26/$C$25))+$C$26*$D$21*$D$21*(1+$C$26/$C$25)),2)</f>
        <v>0.36</v>
      </c>
      <c r="L33" s="31">
        <f>ROUND($D69*L$7/SQRT(L$7*($D69+$E69+$D$22*(1+$C$26/$C$25))+$C$26*$D$21*$D$21*(1+$C$26/$C$25)),2)</f>
        <v>0.87</v>
      </c>
      <c r="M33" s="31">
        <f>ROUND($D69*M$7/SQRT(M$7*($D69+$E69+$D$22*(1+$C$26/$C$25))+$C$26*$D$21*$D$21*(1+$C$26/$C$25)),1)</f>
        <v>3.1</v>
      </c>
      <c r="N33" s="31">
        <f>ROUND($D69*N$7/SQRT(N$7*($D69+$E69+$D$22*(1+$C$26/$C$25))+$C$26*$D$21*$D$21*(1+$C$26/$C$25)),1)</f>
        <v>4.8</v>
      </c>
      <c r="O33" s="31">
        <f>ROUND($D69*O$7/SQRT(O$7*($D69+$E69+$D$22*(1+$C$26/$C$25))+$C$26*$D$21*$D$21*(1+$C$26/$C$25)),1)</f>
        <v>6.8</v>
      </c>
      <c r="P33" s="32">
        <f>ROUND($D69*P$7/SQRT(P$7*($D69+$E69+$D$22*(1+$C$26/$C$25))+$C$26*$D$21*$D$21*(1+$C$26/$C$25)),1)</f>
        <v>9.7</v>
      </c>
    </row>
    <row r="34" spans="2:16" ht="17.25">
      <c r="B34" s="14" t="s">
        <v>29</v>
      </c>
      <c r="C34" s="3"/>
      <c r="D34" s="4"/>
      <c r="H34" s="26">
        <f>B70</f>
        <v>23</v>
      </c>
      <c r="I34" s="30">
        <f>ROUND($D70*I$7/SQRT(I$7*($D70+$E70+$D$22*(1+$C$26/$C$25))+$C$26*$D$21*$D$21*(1+$C$26/$C$25)),2)</f>
        <v>0.01</v>
      </c>
      <c r="J34" s="31">
        <f>ROUND($D70*J$7/SQRT(J$7*($D70+$E70+$D$22*(1+$C$26/$C$25))+$C$26*$D$21*$D$21*(1+$C$26/$C$25)),2)</f>
        <v>0.07</v>
      </c>
      <c r="K34" s="31">
        <f>ROUND($D70*K$7/SQRT(K$7*($D70+$E70+$D$22*(1+$C$26/$C$25))+$C$26*$D$21*$D$21*(1+$C$26/$C$25)),2)</f>
        <v>0.23</v>
      </c>
      <c r="L34" s="31">
        <f>ROUND($D70*L$7/SQRT(L$7*($D70+$E70+$D$22*(1+$C$26/$C$25))+$C$26*$D$21*$D$21*(1+$C$26/$C$25)),2)</f>
        <v>0.55</v>
      </c>
      <c r="M34" s="31">
        <f>ROUND($D70*M$7/SQRT(M$7*($D70+$E70+$D$22*(1+$C$26/$C$25))+$C$26*$D$21*$D$21*(1+$C$26/$C$25)),1)</f>
        <v>1.9</v>
      </c>
      <c r="N34" s="31">
        <f>ROUND($D70*N$7/SQRT(N$7*($D70+$E70+$D$22*(1+$C$26/$C$25))+$C$26*$D$21*$D$21*(1+$C$26/$C$25)),1)</f>
        <v>3.1</v>
      </c>
      <c r="O34" s="31">
        <f>ROUND($D70*O$7/SQRT(O$7*($D70+$E70+$D$22*(1+$C$26/$C$25))+$C$26*$D$21*$D$21*(1+$C$26/$C$25)),1)</f>
        <v>4.3</v>
      </c>
      <c r="P34" s="32">
        <f>ROUND($D70*P$7/SQRT(P$7*($D70+$E70+$D$22*(1+$C$26/$C$25))+$C$26*$D$21*$D$21*(1+$C$26/$C$25)),1)</f>
        <v>6.1</v>
      </c>
    </row>
    <row r="35" spans="2:16" ht="15">
      <c r="B35" s="5" t="s">
        <v>30</v>
      </c>
      <c r="C35" s="6">
        <v>19</v>
      </c>
      <c r="D35" s="7" t="s">
        <v>31</v>
      </c>
      <c r="H35" s="26">
        <f>B71</f>
        <v>23.5</v>
      </c>
      <c r="I35" s="30">
        <f>ROUND($D71*I$7/SQRT(I$7*($D71+$E71+$D$22*(1+$C$26/$C$25))+$C$26*$D$21*$D$21*(1+$C$26/$C$25)),2)</f>
        <v>0.01</v>
      </c>
      <c r="J35" s="31">
        <f>ROUND($D71*J$7/SQRT(J$7*($D71+$E71+$D$22*(1+$C$26/$C$25))+$C$26*$D$21*$D$21*(1+$C$26/$C$25)),2)</f>
        <v>0.04</v>
      </c>
      <c r="K35" s="31">
        <f>ROUND($D71*K$7/SQRT(K$7*($D71+$E71+$D$22*(1+$C$26/$C$25))+$C$26*$D$21*$D$21*(1+$C$26/$C$25)),2)</f>
        <v>0.15</v>
      </c>
      <c r="L35" s="31">
        <f>ROUND($D71*L$7/SQRT(L$7*($D71+$E71+$D$22*(1+$C$26/$C$25))+$C$26*$D$21*$D$21*(1+$C$26/$C$25)),2)</f>
        <v>0.35</v>
      </c>
      <c r="M35" s="31">
        <f>ROUND($D71*M$7/SQRT(M$7*($D71+$E71+$D$22*(1+$C$26/$C$25))+$C$26*$D$21*$D$21*(1+$C$26/$C$25)),1)</f>
        <v>1.2</v>
      </c>
      <c r="N35" s="31">
        <f>ROUND($D71*N$7/SQRT(N$7*($D71+$E71+$D$22*(1+$C$26/$C$25))+$C$26*$D$21*$D$21*(1+$C$26/$C$25)),1)</f>
        <v>1.9</v>
      </c>
      <c r="O35" s="31">
        <f>ROUND($D71*O$7/SQRT(O$7*($D71+$E71+$D$22*(1+$C$26/$C$25))+$C$26*$D$21*$D$21*(1+$C$26/$C$25)),1)</f>
        <v>2.7</v>
      </c>
      <c r="P35" s="32">
        <f>ROUND($D71*P$7/SQRT(P$7*($D71+$E71+$D$22*(1+$C$26/$C$25))+$C$26*$D$21*$D$21*(1+$C$26/$C$25)),1)</f>
        <v>3.9</v>
      </c>
    </row>
    <row r="36" spans="2:16" ht="15">
      <c r="B36" s="5" t="s">
        <v>87</v>
      </c>
      <c r="C36" s="6">
        <v>2</v>
      </c>
      <c r="D36" s="7" t="s">
        <v>8</v>
      </c>
      <c r="H36" s="26">
        <f>B72</f>
        <v>24</v>
      </c>
      <c r="I36" s="30">
        <f>ROUND($D72*I$7/SQRT(I$7*($D72+$E72+$D$22*(1+$C$26/$C$25))+$C$26*$D$21*$D$21*(1+$C$26/$C$25)),2)</f>
        <v>0</v>
      </c>
      <c r="J36" s="31">
        <f>ROUND($D72*J$7/SQRT(J$7*($D72+$E72+$D$22*(1+$C$26/$C$25))+$C$26*$D$21*$D$21*(1+$C$26/$C$25)),2)</f>
        <v>0.03</v>
      </c>
      <c r="K36" s="31">
        <f>ROUND($D72*K$7/SQRT(K$7*($D72+$E72+$D$22*(1+$C$26/$C$25))+$C$26*$D$21*$D$21*(1+$C$26/$C$25)),2)</f>
        <v>0.09</v>
      </c>
      <c r="L36" s="31">
        <f>ROUND($D72*L$7/SQRT(L$7*($D72+$E72+$D$22*(1+$C$26/$C$25))+$C$26*$D$21*$D$21*(1+$C$26/$C$25)),2)</f>
        <v>0.22</v>
      </c>
      <c r="M36" s="31">
        <f>ROUND($D72*M$7/SQRT(M$7*($D72+$E72+$D$22*(1+$C$26/$C$25))+$C$26*$D$21*$D$21*(1+$C$26/$C$25)),1)</f>
        <v>0.8</v>
      </c>
      <c r="N36" s="31">
        <f>ROUND($D72*N$7/SQRT(N$7*($D72+$E72+$D$22*(1+$C$26/$C$25))+$C$26*$D$21*$D$21*(1+$C$26/$C$25)),1)</f>
        <v>1.2</v>
      </c>
      <c r="O36" s="31">
        <f>ROUND($D72*O$7/SQRT(O$7*($D72+$E72+$D$22*(1+$C$26/$C$25))+$C$26*$D$21*$D$21*(1+$C$26/$C$25)),1)</f>
        <v>1.7</v>
      </c>
      <c r="P36" s="32">
        <f>ROUND($D72*P$7/SQRT(P$7*($D72+$E72+$D$22*(1+$C$26/$C$25))+$C$26*$D$21*$D$21*(1+$C$26/$C$25)),1)</f>
        <v>2.4</v>
      </c>
    </row>
    <row r="37" spans="2:16" ht="15">
      <c r="B37" s="84" t="s">
        <v>33</v>
      </c>
      <c r="C37" s="68">
        <v>400</v>
      </c>
      <c r="D37" s="7" t="s">
        <v>35</v>
      </c>
      <c r="H37" s="26">
        <f aca="true" t="shared" si="1" ref="H37:H42">B73</f>
        <v>24.5</v>
      </c>
      <c r="I37" s="30">
        <f>ROUND($D73*I$7/SQRT(I$7*($D73+$E73+$D$22*(1+$C$26/$C$25))+$C$26*$D$21*$D$21*(1+$C$26/$C$25)),2)</f>
        <v>0</v>
      </c>
      <c r="J37" s="31">
        <f>ROUND($D73*J$7/SQRT(J$7*($D73+$E73+$D$22*(1+$C$26/$C$25))+$C$26*$D$21*$D$21*(1+$C$26/$C$25)),2)</f>
        <v>0.02</v>
      </c>
      <c r="K37" s="31">
        <f>ROUND($D73*K$7/SQRT(K$7*($D73+$E73+$D$22*(1+$C$26/$C$25))+$C$26*$D$21*$D$21*(1+$C$26/$C$25)),2)</f>
        <v>0.06</v>
      </c>
      <c r="L37" s="31">
        <f>ROUND($D73*L$7/SQRT(L$7*($D73+$E73+$D$22*(1+$C$26/$C$25))+$C$26*$D$21*$D$21*(1+$C$26/$C$25)),2)</f>
        <v>0.14</v>
      </c>
      <c r="M37" s="31">
        <f>ROUND($D73*M$7/SQRT(M$7*($D73+$E73+$D$22*(1+$C$26/$C$25))+$C$26*$D$21*$D$21*(1+$C$26/$C$25)),1)</f>
        <v>0.5</v>
      </c>
      <c r="N37" s="31">
        <f>ROUND($D73*N$7/SQRT(N$7*($D73+$E73+$D$22*(1+$C$26/$C$25))+$C$26*$D$21*$D$21*(1+$C$26/$C$25)),1)</f>
        <v>0.8</v>
      </c>
      <c r="O37" s="31">
        <f>ROUND($D73*O$7/SQRT(O$7*($D73+$E73+$D$22*(1+$C$26/$C$25))+$C$26*$D$21*$D$21*(1+$C$26/$C$25)),1)</f>
        <v>1.1</v>
      </c>
      <c r="P37" s="32">
        <f>ROUND($D73*P$7/SQRT(P$7*($D73+$E73+$D$22*(1+$C$26/$C$25))+$C$26*$D$21*$D$21*(1+$C$26/$C$25)),1)</f>
        <v>1.5</v>
      </c>
    </row>
    <row r="38" spans="2:16" ht="15.75" thickBot="1">
      <c r="B38" s="19" t="s">
        <v>86</v>
      </c>
      <c r="C38" s="20">
        <v>90</v>
      </c>
      <c r="D38" s="85" t="s">
        <v>88</v>
      </c>
      <c r="H38" s="26">
        <f t="shared" si="1"/>
        <v>25</v>
      </c>
      <c r="I38" s="30">
        <f>ROUND($D74*I$7/SQRT(I$7*($D74+$E74+$D$22*(1+$C$26/$C$25))+$C$26*$D$21*$D$21*(1+$C$26/$C$25)),2)</f>
        <v>0</v>
      </c>
      <c r="J38" s="31">
        <f>ROUND($D74*J$7/SQRT(J$7*($D74+$E74+$D$22*(1+$C$26/$C$25))+$C$26*$D$21*$D$21*(1+$C$26/$C$25)),2)</f>
        <v>0.01</v>
      </c>
      <c r="K38" s="31">
        <f>ROUND($D74*K$7/SQRT(K$7*($D74+$E74+$D$22*(1+$C$26/$C$25))+$C$26*$D$21*$D$21*(1+$C$26/$C$25)),2)</f>
        <v>0.04</v>
      </c>
      <c r="L38" s="31">
        <f>ROUND($D74*L$7/SQRT(L$7*($D74+$E74+$D$22*(1+$C$26/$C$25))+$C$26*$D$21*$D$21*(1+$C$26/$C$25)),2)</f>
        <v>0.09</v>
      </c>
      <c r="M38" s="31">
        <f>ROUND($D74*M$7/SQRT(M$7*($D74+$E74+$D$22*(1+$C$26/$C$25))+$C$26*$D$21*$D$21*(1+$C$26/$C$25)),1)</f>
        <v>0.3</v>
      </c>
      <c r="N38" s="31">
        <f>ROUND($D74*N$7/SQRT(N$7*($D74+$E74+$D$22*(1+$C$26/$C$25))+$C$26*$D$21*$D$21*(1+$C$26/$C$25)),1)</f>
        <v>0.5</v>
      </c>
      <c r="O38" s="31">
        <f>ROUND($D74*O$7/SQRT(O$7*($D74+$E74+$D$22*(1+$C$26/$C$25))+$C$26*$D$21*$D$21*(1+$C$26/$C$25)),1)</f>
        <v>0.7</v>
      </c>
      <c r="P38" s="32">
        <f>ROUND($D74*P$7/SQRT(P$7*($D74+$E74+$D$22*(1+$C$26/$C$25))+$C$26*$D$21*$D$21*(1+$C$26/$C$25)),1)</f>
        <v>1</v>
      </c>
    </row>
    <row r="39" spans="2:16" ht="15">
      <c r="B39" s="86" t="s">
        <v>89</v>
      </c>
      <c r="C39" s="87">
        <f>C36/(COS(PI()/180*(90-C38)))^(3/5)</f>
        <v>2</v>
      </c>
      <c r="D39" s="13" t="s">
        <v>8</v>
      </c>
      <c r="F39" s="15"/>
      <c r="G39" s="15"/>
      <c r="H39" s="26">
        <f t="shared" si="1"/>
        <v>25.5</v>
      </c>
      <c r="I39" s="30">
        <f>ROUND($D75*I$7/SQRT(I$7*($D75+$E75+$D$22*(1+$C$26/$C$25))+$C$26*$D$21*$D$21*(1+$C$26/$C$25)),1)</f>
        <v>0</v>
      </c>
      <c r="J39" s="31">
        <f>ROUND($D75*J$7/SQRT(J$7*($D75+$E75+$D$22*(1+$C$26/$C$25))+$C$26*$D$21*$D$21*(1+$C$26/$C$25)),2)</f>
        <v>0.01</v>
      </c>
      <c r="K39" s="31">
        <f>ROUND($D75*K$7/SQRT(K$7*($D75+$E75+$D$22*(1+$C$26/$C$25))+$C$26*$D$21*$D$21*(1+$C$26/$C$25)),2)</f>
        <v>0.02</v>
      </c>
      <c r="L39" s="31">
        <f>ROUND($D75*L$7/SQRT(L$7*($D75+$E75+$D$22*(1+$C$26/$C$25))+$C$26*$D$21*$D$21*(1+$C$26/$C$25)),2)</f>
        <v>0.05</v>
      </c>
      <c r="M39" s="31">
        <f>ROUND($D75*M$7/SQRT(M$7*($D75+$E75+$D$22*(1+$C$26/$C$25))+$C$26*$D$21*$D$21*(1+$C$26/$C$25)),1)</f>
        <v>0.2</v>
      </c>
      <c r="N39" s="31">
        <f>ROUND($D75*N$7/SQRT(N$7*($D75+$E75+$D$22*(1+$C$26/$C$25))+$C$26*$D$21*$D$21*(1+$C$26/$C$25)),1)</f>
        <v>0.3</v>
      </c>
      <c r="O39" s="31">
        <f>ROUND($D75*O$7/SQRT(O$7*($D75+$E75+$D$22*(1+$C$26/$C$25))+$C$26*$D$21*$D$21*(1+$C$26/$C$25)),1)</f>
        <v>0.4</v>
      </c>
      <c r="P39" s="32">
        <f>ROUND($D75*P$7/SQRT(P$7*($D75+$E75+$D$22*(1+$C$26/$C$25))+$C$26*$D$21*$D$21*(1+$C$26/$C$25)),1)</f>
        <v>0.6</v>
      </c>
    </row>
    <row r="40" spans="2:16" ht="15">
      <c r="B40" s="54" t="s">
        <v>10</v>
      </c>
      <c r="C40" s="55">
        <f>MAX(ROUND(C39*C11*PI()/180/3600,4),C17)</f>
        <v>0.0242</v>
      </c>
      <c r="D40" s="54" t="s">
        <v>7</v>
      </c>
      <c r="H40" s="26">
        <f t="shared" si="1"/>
        <v>26</v>
      </c>
      <c r="I40" s="30">
        <f>ROUND($D76*I$7/SQRT(I$7*($D76+$E76+$D$22*(1+$C$26/$C$25))+$C$26*$D$21*$D$21*(1+$C$26/$C$25)),1)</f>
        <v>0</v>
      </c>
      <c r="J40" s="31">
        <f>ROUND($D76*J$7/SQRT(J$7*($D76+$E76+$D$22*(1+$C$26/$C$25))+$C$26*$D$21*$D$21*(1+$C$26/$C$25)),2)</f>
        <v>0</v>
      </c>
      <c r="K40" s="31">
        <f>ROUND($D76*K$7/SQRT(K$7*($D76+$E76+$D$22*(1+$C$26/$C$25))+$C$26*$D$21*$D$21*(1+$C$26/$C$25)),2)</f>
        <v>0.01</v>
      </c>
      <c r="L40" s="31">
        <f>ROUND($D76*L$7/SQRT(L$7*($D76+$E76+$D$22*(1+$C$26/$C$25))+$C$26*$D$21*$D$21*(1+$C$26/$C$25)),2)</f>
        <v>0.03</v>
      </c>
      <c r="M40" s="31">
        <f>ROUND($D76*M$7/SQRT(M$7*($D76+$E76+$D$22*(1+$C$26/$C$25))+$C$26*$D$21*$D$21*(1+$C$26/$C$25)),1)</f>
        <v>0.1</v>
      </c>
      <c r="N40" s="31">
        <f>ROUND($D76*N$7/SQRT(N$7*($D76+$E76+$D$22*(1+$C$26/$C$25))+$C$26*$D$21*$D$21*(1+$C$26/$C$25)),1)</f>
        <v>0.2</v>
      </c>
      <c r="O40" s="31">
        <f>ROUND($D76*O$7/SQRT(O$7*($D76+$E76+$D$22*(1+$C$26/$C$25))+$C$26*$D$21*$D$21*(1+$C$26/$C$25)),1)</f>
        <v>0.3</v>
      </c>
      <c r="P40" s="32">
        <f>ROUND($D76*P$7/SQRT(P$7*($D76+$E76+$D$22*(1+$C$26/$C$25))+$C$26*$D$21*$D$21*(1+$C$26/$C$25)),1)</f>
        <v>0.4</v>
      </c>
    </row>
    <row r="41" spans="2:16" ht="15">
      <c r="B41" s="81" t="s">
        <v>93</v>
      </c>
      <c r="C41">
        <f>1/COS(PI()/180*(90-C38))</f>
        <v>1</v>
      </c>
      <c r="H41" s="26">
        <f t="shared" si="1"/>
        <v>26.5</v>
      </c>
      <c r="I41" s="30">
        <f>ROUND($D77*I$7/SQRT(I$7*($D77+$E77+$D$22*(1+$C$26/$C$25))+$C$26*$D$21*$D$21*(1+$C$26/$C$25)),1)</f>
        <v>0</v>
      </c>
      <c r="J41" s="31">
        <f>ROUND($D77*J$7/SQRT(J$7*($D77+$E77+$D$22*(1+$C$26/$C$25))+$C$26*$D$21*$D$21*(1+$C$26/$C$25)),2)</f>
        <v>0</v>
      </c>
      <c r="K41" s="31">
        <f>ROUND($D77*K$7/SQRT(K$7*($D77+$E77+$D$22*(1+$C$26/$C$25))+$C$26*$D$21*$D$21*(1+$C$26/$C$25)),2)</f>
        <v>0.01</v>
      </c>
      <c r="L41" s="31">
        <f>ROUND($D77*L$7/SQRT(L$7*($D77+$E77+$D$22*(1+$C$26/$C$25))+$C$26*$D$21*$D$21*(1+$C$26/$C$25)),2)</f>
        <v>0.02</v>
      </c>
      <c r="M41" s="31">
        <f>ROUND($D77*M$7/SQRT(M$7*($D77+$E77+$D$22*(1+$C$26/$C$25))+$C$26*$D$21*$D$21*(1+$C$26/$C$25)),1)</f>
        <v>0.1</v>
      </c>
      <c r="N41" s="31">
        <f>ROUND($D77*N$7/SQRT(N$7*($D77+$E77+$D$22*(1+$C$26/$C$25))+$C$26*$D$21*$D$21*(1+$C$26/$C$25)),1)</f>
        <v>0.1</v>
      </c>
      <c r="O41" s="31">
        <f>ROUND($D77*O$7/SQRT(O$7*($D77+$E77+$D$22*(1+$C$26/$C$25))+$C$26*$D$21*$D$21*(1+$C$26/$C$25)),1)</f>
        <v>0.2</v>
      </c>
      <c r="P41" s="32">
        <f>ROUND($D77*P$7/SQRT(P$7*($D77+$E77+$D$22*(1+$C$26/$C$25))+$C$26*$D$21*$D$21*(1+$C$26/$C$25)),1)</f>
        <v>0.2</v>
      </c>
    </row>
    <row r="42" spans="2:16" ht="15.75" thickBot="1">
      <c r="B42" s="81" t="s">
        <v>94</v>
      </c>
      <c r="C42">
        <f>C41-0.0018167*(C41-1)-0.002875*(C41-1)^2-0.0008083*(C41-1)^3</f>
        <v>1</v>
      </c>
      <c r="H42" s="59">
        <f t="shared" si="1"/>
        <v>27</v>
      </c>
      <c r="I42" s="33">
        <f>ROUND($D78*I$7/SQRT(I$7*($D78+$E78+$D$22*(1+$C$26/$C$25))+$C$26*$D$21*$D$21*(1+$C$26/$C$25)),1)</f>
        <v>0</v>
      </c>
      <c r="J42" s="34">
        <f>ROUND($D78*J$7/SQRT(J$7*($D78+$E78+$D$22*(1+$C$26/$C$25))+$C$26*$D$21*$D$21*(1+$C$26/$C$25)),2)</f>
        <v>0</v>
      </c>
      <c r="K42" s="34">
        <f>ROUND($D78*K$7/SQRT(K$7*($D78+$E78+$D$22*(1+$C$26/$C$25))+$C$26*$D$21*$D$21*(1+$C$26/$C$25)),2)</f>
        <v>0.01</v>
      </c>
      <c r="L42" s="34">
        <f>ROUND($D78*L$7/SQRT(L$7*($D78+$E78+$D$22*(1+$C$26/$C$25))+$C$26*$D$21*$D$21*(1+$C$26/$C$25)),2)</f>
        <v>0.01</v>
      </c>
      <c r="M42" s="34">
        <f>ROUND($D78*M$7/SQRT(M$7*($D78+$E78+$D$22*(1+$C$26/$C$25))+$C$26*$D$21*$D$21*(1+$C$26/$C$25)),1)</f>
        <v>0</v>
      </c>
      <c r="N42" s="34">
        <f>ROUND($D78*N$7/SQRT(N$7*($D78+$E78+$D$22*(1+$C$26/$C$25))+$C$26*$D$21*$D$21*(1+$C$26/$C$25)),1)</f>
        <v>0.1</v>
      </c>
      <c r="O42" s="34">
        <f>ROUND($D78*O$7/SQRT(O$7*($D78+$E78+$D$22*(1+$C$26/$C$25))+$C$26*$D$21*$D$21*(1+$C$26/$C$25)),1)</f>
        <v>0.1</v>
      </c>
      <c r="P42" s="35">
        <f>ROUND($D78*P$7/SQRT(P$7*($D78+$E78+$D$22*(1+$C$26/$C$25))+$C$26*$D$21*$D$21*(1+$C$26/$C$25)),1)</f>
        <v>0.2</v>
      </c>
    </row>
    <row r="43" spans="2:11" ht="15">
      <c r="B43" s="47" t="s">
        <v>42</v>
      </c>
      <c r="C43" s="15" t="s">
        <v>50</v>
      </c>
      <c r="D43" s="15" t="s">
        <v>51</v>
      </c>
      <c r="E43" s="15" t="s">
        <v>52</v>
      </c>
      <c r="K43" s="80"/>
    </row>
    <row r="44" spans="2:11" ht="15">
      <c r="B44" s="47">
        <v>10</v>
      </c>
      <c r="C44" s="15">
        <f>1/(10^(B44/2.5))</f>
        <v>0.0001</v>
      </c>
      <c r="D44" s="15">
        <f aca="true" t="shared" si="2" ref="D44:D78">C44*$C$16*C$32</f>
        <v>30727.49583858482</v>
      </c>
      <c r="E44">
        <f>C$16*C$30/(10^($C$35/2.5))*U$21/13</f>
        <v>35.462909670555085</v>
      </c>
      <c r="K44" s="80"/>
    </row>
    <row r="45" spans="2:11" ht="15">
      <c r="B45" s="47">
        <f>B44+0.5</f>
        <v>10.5</v>
      </c>
      <c r="C45" s="15">
        <f aca="true" t="shared" si="3" ref="C45:C78">1/(10^(B45/2.5))</f>
        <v>6.309573444801928E-05</v>
      </c>
      <c r="D45" s="15">
        <f t="shared" si="2"/>
        <v>19387.73917683965</v>
      </c>
      <c r="E45">
        <f>C$16*C$30/(10^($C$35/2.5))*U$21/13</f>
        <v>35.462909670555085</v>
      </c>
      <c r="K45" s="31">
        <f>ROUND($D81*K$7/SQRT(K$7*($D81+$E81+$D$22*(1+$C$26/$C$25))+$C$26*$D$21*$D$21*(1+$C$26/$C$25)),2)</f>
        <v>0</v>
      </c>
    </row>
    <row r="46" spans="2:5" ht="12.75">
      <c r="B46" s="47">
        <f aca="true" t="shared" si="4" ref="B46:B74">B45+0.5</f>
        <v>11</v>
      </c>
      <c r="C46" s="15">
        <f t="shared" si="3"/>
        <v>3.9810717055349634E-05</v>
      </c>
      <c r="D46" s="15">
        <f t="shared" si="2"/>
        <v>12232.836426493333</v>
      </c>
      <c r="E46">
        <f>C$16*C$30/(10^($C$35/2.5))*U$21/13</f>
        <v>35.462909670555085</v>
      </c>
    </row>
    <row r="47" spans="2:5" ht="12.75">
      <c r="B47" s="47">
        <f t="shared" si="4"/>
        <v>11.5</v>
      </c>
      <c r="C47" s="15">
        <f t="shared" si="3"/>
        <v>2.511886431509579E-05</v>
      </c>
      <c r="D47" s="15">
        <f t="shared" si="2"/>
        <v>7718.397987120826</v>
      </c>
      <c r="E47">
        <f>C$16*C$30/(10^($C$35/2.5))*U$21/13</f>
        <v>35.462909670555085</v>
      </c>
    </row>
    <row r="48" spans="2:5" ht="12.75">
      <c r="B48" s="47">
        <f t="shared" si="4"/>
        <v>12</v>
      </c>
      <c r="C48" s="15">
        <f t="shared" si="3"/>
        <v>1.584893192461113E-05</v>
      </c>
      <c r="D48" s="15">
        <f t="shared" si="2"/>
        <v>4869.979897595026</v>
      </c>
      <c r="E48">
        <f>C$16*C$30/(10^($C$35/2.5))*U$21/13</f>
        <v>35.462909670555085</v>
      </c>
    </row>
    <row r="49" spans="2:5" ht="12.75">
      <c r="B49" s="47">
        <f t="shared" si="4"/>
        <v>12.5</v>
      </c>
      <c r="C49" s="15">
        <f t="shared" si="3"/>
        <v>1E-05</v>
      </c>
      <c r="D49" s="15">
        <f t="shared" si="2"/>
        <v>3072.7495838584823</v>
      </c>
      <c r="E49">
        <f>C$16*C$30/(10^($C$35/2.5))*U$21/13</f>
        <v>35.462909670555085</v>
      </c>
    </row>
    <row r="50" spans="2:5" ht="12.75">
      <c r="B50" s="47">
        <f t="shared" si="4"/>
        <v>13</v>
      </c>
      <c r="C50" s="15">
        <f t="shared" si="3"/>
        <v>6.309573444801921E-06</v>
      </c>
      <c r="D50" s="15">
        <f t="shared" si="2"/>
        <v>1938.773917683963</v>
      </c>
      <c r="E50">
        <f>C$16*C$30/(10^($C$35/2.5))*U$21/13</f>
        <v>35.462909670555085</v>
      </c>
    </row>
    <row r="51" spans="2:5" ht="12.75">
      <c r="B51" s="47">
        <f t="shared" si="4"/>
        <v>13.5</v>
      </c>
      <c r="C51" s="15">
        <f t="shared" si="3"/>
        <v>3.981071705534966E-06</v>
      </c>
      <c r="D51" s="15">
        <f t="shared" si="2"/>
        <v>1223.283642649334</v>
      </c>
      <c r="E51">
        <f>C$16*C$30/(10^($C$35/2.5))*U$21/13</f>
        <v>35.462909670555085</v>
      </c>
    </row>
    <row r="52" spans="2:5" ht="12.75">
      <c r="B52" s="47">
        <f t="shared" si="4"/>
        <v>14</v>
      </c>
      <c r="C52" s="15">
        <f t="shared" si="3"/>
        <v>2.5118864315095806E-06</v>
      </c>
      <c r="D52" s="15">
        <f t="shared" si="2"/>
        <v>771.839798712083</v>
      </c>
      <c r="E52">
        <f>C$16*C$30/(10^($C$35/2.5))*U$21/13</f>
        <v>35.462909670555085</v>
      </c>
    </row>
    <row r="53" spans="2:5" ht="12.75">
      <c r="B53" s="47">
        <f t="shared" si="4"/>
        <v>14.5</v>
      </c>
      <c r="C53" s="15">
        <f t="shared" si="3"/>
        <v>1.5848931924611111E-06</v>
      </c>
      <c r="D53" s="15">
        <f t="shared" si="2"/>
        <v>486.997989759502</v>
      </c>
      <c r="E53">
        <f>C$16*C$30/(10^($C$35/2.5))*U$21/13</f>
        <v>35.462909670555085</v>
      </c>
    </row>
    <row r="54" spans="2:5" ht="12.75">
      <c r="B54" s="47">
        <f t="shared" si="4"/>
        <v>15</v>
      </c>
      <c r="C54" s="15">
        <f t="shared" si="3"/>
        <v>1E-06</v>
      </c>
      <c r="D54" s="15">
        <f t="shared" si="2"/>
        <v>307.27495838584815</v>
      </c>
      <c r="E54">
        <f>C$16*C$30/(10^($C$35/2.5))*U$21/13</f>
        <v>35.462909670555085</v>
      </c>
    </row>
    <row r="55" spans="2:5" ht="12.75">
      <c r="B55" s="47">
        <f t="shared" si="4"/>
        <v>15.5</v>
      </c>
      <c r="C55" s="15">
        <f t="shared" si="3"/>
        <v>6.309573444801925E-07</v>
      </c>
      <c r="D55" s="15">
        <f t="shared" si="2"/>
        <v>193.87739176839642</v>
      </c>
      <c r="E55">
        <f>C$16*C$30/(10^($C$35/2.5))*U$21/13</f>
        <v>35.462909670555085</v>
      </c>
    </row>
    <row r="56" spans="2:5" ht="12.75">
      <c r="B56" s="47">
        <f t="shared" si="4"/>
        <v>16</v>
      </c>
      <c r="C56" s="15">
        <f t="shared" si="3"/>
        <v>3.981071705534962E-07</v>
      </c>
      <c r="D56" s="15">
        <f t="shared" si="2"/>
        <v>122.32836426493331</v>
      </c>
      <c r="E56">
        <f>C$16*C$30/(10^($C$35/2.5))*U$21/13</f>
        <v>35.462909670555085</v>
      </c>
    </row>
    <row r="57" spans="2:5" ht="12.75">
      <c r="B57" s="47">
        <f t="shared" si="4"/>
        <v>16.5</v>
      </c>
      <c r="C57" s="15">
        <f t="shared" si="3"/>
        <v>2.511886431509578E-07</v>
      </c>
      <c r="D57" s="15">
        <f t="shared" si="2"/>
        <v>77.18397987120822</v>
      </c>
      <c r="E57">
        <f>C$16*C$30/(10^($C$35/2.5))*U$21/13</f>
        <v>35.462909670555085</v>
      </c>
    </row>
    <row r="58" spans="2:5" ht="12.75">
      <c r="B58" s="47">
        <f t="shared" si="4"/>
        <v>17</v>
      </c>
      <c r="C58" s="15">
        <f t="shared" si="3"/>
        <v>1.5848931924611122E-07</v>
      </c>
      <c r="D58" s="15">
        <f t="shared" si="2"/>
        <v>48.69979897595023</v>
      </c>
      <c r="E58">
        <f>C$16*C$30/(10^($C$35/2.5))*U$21/13</f>
        <v>35.462909670555085</v>
      </c>
    </row>
    <row r="59" spans="2:5" ht="12.75">
      <c r="B59" s="47">
        <f t="shared" si="4"/>
        <v>17.5</v>
      </c>
      <c r="C59" s="15">
        <f t="shared" si="3"/>
        <v>1E-07</v>
      </c>
      <c r="D59" s="15">
        <f t="shared" si="2"/>
        <v>30.727495838584815</v>
      </c>
      <c r="E59">
        <f>C$16*C$30/(10^($C$35/2.5))*U$21/13</f>
        <v>35.462909670555085</v>
      </c>
    </row>
    <row r="60" spans="2:5" ht="12.75">
      <c r="B60" s="47">
        <f t="shared" si="4"/>
        <v>18</v>
      </c>
      <c r="C60" s="15">
        <f t="shared" si="3"/>
        <v>6.309573444801918E-08</v>
      </c>
      <c r="D60" s="15">
        <f t="shared" si="2"/>
        <v>19.38773917683962</v>
      </c>
      <c r="E60">
        <f>C$16*C$30/(10^($C$35/2.5))*U$21/13</f>
        <v>35.462909670555085</v>
      </c>
    </row>
    <row r="61" spans="2:5" ht="12.75">
      <c r="B61" s="47">
        <f t="shared" si="4"/>
        <v>18.5</v>
      </c>
      <c r="C61" s="15">
        <f t="shared" si="3"/>
        <v>3.981071705534957E-08</v>
      </c>
      <c r="D61" s="15">
        <f t="shared" si="2"/>
        <v>12.232836426493314</v>
      </c>
      <c r="E61">
        <f>C$16*C$30/(10^($C$35/2.5))*U$21/13</f>
        <v>35.462909670555085</v>
      </c>
    </row>
    <row r="62" spans="2:5" ht="12.75">
      <c r="B62" s="47">
        <f t="shared" si="4"/>
        <v>19</v>
      </c>
      <c r="C62" s="15">
        <f t="shared" si="3"/>
        <v>2.511886431509575E-08</v>
      </c>
      <c r="D62" s="15">
        <f t="shared" si="2"/>
        <v>7.718397987120814</v>
      </c>
      <c r="E62">
        <f>C$16*C$30/(10^($C$35/2.5))*U$21/13</f>
        <v>35.462909670555085</v>
      </c>
    </row>
    <row r="63" spans="2:5" ht="12.75">
      <c r="B63" s="47">
        <f t="shared" si="4"/>
        <v>19.5</v>
      </c>
      <c r="C63" s="15">
        <f t="shared" si="3"/>
        <v>1.5848931924611133E-08</v>
      </c>
      <c r="D63" s="15">
        <f t="shared" si="2"/>
        <v>4.869979897595027</v>
      </c>
      <c r="E63">
        <f>C$16*C$30/(10^($C$35/2.5))*U$21/13</f>
        <v>35.462909670555085</v>
      </c>
    </row>
    <row r="64" spans="2:5" ht="12.75">
      <c r="B64" s="47">
        <f t="shared" si="4"/>
        <v>20</v>
      </c>
      <c r="C64" s="15">
        <f t="shared" si="3"/>
        <v>1E-08</v>
      </c>
      <c r="D64" s="15">
        <f t="shared" si="2"/>
        <v>3.072749583858482</v>
      </c>
      <c r="E64">
        <f>C$16*C$30/(10^($C$35/2.5))*U$21/13</f>
        <v>35.462909670555085</v>
      </c>
    </row>
    <row r="65" spans="2:5" ht="12.75">
      <c r="B65" s="47">
        <f t="shared" si="4"/>
        <v>20.5</v>
      </c>
      <c r="C65" s="15">
        <f t="shared" si="3"/>
        <v>6.309573444801933E-09</v>
      </c>
      <c r="D65" s="15">
        <f t="shared" si="2"/>
        <v>1.9387739176839667</v>
      </c>
      <c r="E65">
        <f>C$16*C$30/(10^($C$35/2.5))*U$21/13</f>
        <v>35.462909670555085</v>
      </c>
    </row>
    <row r="66" spans="2:5" ht="12.75">
      <c r="B66" s="47">
        <f t="shared" si="4"/>
        <v>21</v>
      </c>
      <c r="C66" s="15">
        <f t="shared" si="3"/>
        <v>3.9810717055349665E-09</v>
      </c>
      <c r="D66" s="15">
        <f t="shared" si="2"/>
        <v>1.2232836426493343</v>
      </c>
      <c r="E66">
        <f>C$16*C$30/(10^($C$35/2.5))*U$21/13</f>
        <v>35.462909670555085</v>
      </c>
    </row>
    <row r="67" spans="2:5" ht="12.75">
      <c r="B67" s="47">
        <f t="shared" si="4"/>
        <v>21.5</v>
      </c>
      <c r="C67" s="15">
        <f t="shared" si="3"/>
        <v>2.511886431509581E-09</v>
      </c>
      <c r="D67" s="15">
        <f t="shared" si="2"/>
        <v>0.7718397987120833</v>
      </c>
      <c r="E67">
        <f>C$16*C$30/(10^($C$35/2.5))*U$21/13</f>
        <v>35.462909670555085</v>
      </c>
    </row>
    <row r="68" spans="2:5" ht="12.75">
      <c r="B68" s="47">
        <f t="shared" si="4"/>
        <v>22</v>
      </c>
      <c r="C68" s="15">
        <f t="shared" si="3"/>
        <v>1.584893192461106E-09</v>
      </c>
      <c r="D68" s="15">
        <f t="shared" si="2"/>
        <v>0.4869979897595004</v>
      </c>
      <c r="E68">
        <f>C$16*C$30/(10^($C$35/2.5))*U$21/13</f>
        <v>35.462909670555085</v>
      </c>
    </row>
    <row r="69" spans="2:5" ht="12.75">
      <c r="B69" s="47">
        <f t="shared" si="4"/>
        <v>22.5</v>
      </c>
      <c r="C69" s="15">
        <f t="shared" si="3"/>
        <v>1E-09</v>
      </c>
      <c r="D69" s="15">
        <f t="shared" si="2"/>
        <v>0.3072749583858482</v>
      </c>
      <c r="E69">
        <f>C$16*C$30/(10^($C$35/2.5))*U$21/13</f>
        <v>35.462909670555085</v>
      </c>
    </row>
    <row r="70" spans="2:5" ht="12.75">
      <c r="B70" s="47">
        <f t="shared" si="4"/>
        <v>23</v>
      </c>
      <c r="C70" s="15">
        <f t="shared" si="3"/>
        <v>6.309573444801927E-10</v>
      </c>
      <c r="D70" s="15">
        <f t="shared" si="2"/>
        <v>0.1938773917683965</v>
      </c>
      <c r="E70">
        <f>C$16*C$30/(10^($C$35/2.5))*U$21/13</f>
        <v>35.462909670555085</v>
      </c>
    </row>
    <row r="71" spans="2:5" ht="12.75">
      <c r="B71" s="47">
        <f t="shared" si="4"/>
        <v>23.5</v>
      </c>
      <c r="C71" s="15">
        <f t="shared" si="3"/>
        <v>3.981071705534962E-10</v>
      </c>
      <c r="D71" s="15">
        <f t="shared" si="2"/>
        <v>0.1223283642649333</v>
      </c>
      <c r="E71">
        <f>C$16*C$30/(10^($C$35/2.5))*U$21/13</f>
        <v>35.462909670555085</v>
      </c>
    </row>
    <row r="72" spans="2:5" ht="12.75">
      <c r="B72" s="47">
        <f t="shared" si="4"/>
        <v>24</v>
      </c>
      <c r="C72" s="15">
        <f t="shared" si="3"/>
        <v>2.5118864315095784E-10</v>
      </c>
      <c r="D72" s="15">
        <f t="shared" si="2"/>
        <v>0.07718397987120823</v>
      </c>
      <c r="E72">
        <f>C$16*C$30/(10^($C$35/2.5))*U$21/13</f>
        <v>35.462909670555085</v>
      </c>
    </row>
    <row r="73" spans="2:5" ht="12.75">
      <c r="B73" s="47">
        <f t="shared" si="4"/>
        <v>24.5</v>
      </c>
      <c r="C73" s="15">
        <f t="shared" si="3"/>
        <v>1.5848931924611098E-10</v>
      </c>
      <c r="D73" s="15">
        <f t="shared" si="2"/>
        <v>0.048699798975950156</v>
      </c>
      <c r="E73">
        <f>C$16*C$30/(10^($C$35/2.5))*U$21/13</f>
        <v>35.462909670555085</v>
      </c>
    </row>
    <row r="74" spans="2:5" ht="12.75">
      <c r="B74" s="47">
        <f t="shared" si="4"/>
        <v>25</v>
      </c>
      <c r="C74" s="15">
        <f t="shared" si="3"/>
        <v>1E-10</v>
      </c>
      <c r="D74" s="15">
        <f t="shared" si="2"/>
        <v>0.030727495838584817</v>
      </c>
      <c r="E74">
        <f>C$16*C$30/(10^($C$35/2.5))*U$21/13</f>
        <v>35.462909670555085</v>
      </c>
    </row>
    <row r="75" spans="2:5" ht="12.75">
      <c r="B75" s="47">
        <f>B74+0.5</f>
        <v>25.5</v>
      </c>
      <c r="C75" s="15">
        <f t="shared" si="3"/>
        <v>6.309573444801919E-11</v>
      </c>
      <c r="D75" s="15">
        <f t="shared" si="2"/>
        <v>0.019387739176839624</v>
      </c>
      <c r="E75">
        <f>C$16*C$30/(10^($C$35/2.5))*U$21/13</f>
        <v>35.462909670555085</v>
      </c>
    </row>
    <row r="76" spans="2:5" ht="12.75">
      <c r="B76" s="47">
        <f>B75+0.5</f>
        <v>26</v>
      </c>
      <c r="C76" s="15">
        <f t="shared" si="3"/>
        <v>3.981071705534958E-11</v>
      </c>
      <c r="D76" s="15">
        <f t="shared" si="2"/>
        <v>0.012232836426493317</v>
      </c>
      <c r="E76">
        <f>C$16*C$30/(10^($C$35/2.5))*U$21/13</f>
        <v>35.462909670555085</v>
      </c>
    </row>
    <row r="77" spans="2:5" ht="12.75">
      <c r="B77" s="47">
        <f>B76+0.5</f>
        <v>26.5</v>
      </c>
      <c r="C77" s="15">
        <f t="shared" si="3"/>
        <v>2.511886431509576E-11</v>
      </c>
      <c r="D77" s="15">
        <f t="shared" si="2"/>
        <v>0.007718397987120816</v>
      </c>
      <c r="E77">
        <f>C$16*C$30/(10^($C$35/2.5))*U$21/13</f>
        <v>35.462909670555085</v>
      </c>
    </row>
    <row r="78" spans="2:5" ht="12.75">
      <c r="B78" s="47">
        <f>B77+0.5</f>
        <v>27</v>
      </c>
      <c r="C78" s="15">
        <f t="shared" si="3"/>
        <v>1.5848931924611082E-11</v>
      </c>
      <c r="D78" s="15">
        <f t="shared" si="2"/>
        <v>0.0048699798975950104</v>
      </c>
      <c r="E78">
        <f>C$16*C$30/(10^($C$35/2.5))*U$21/13</f>
        <v>35.462909670555085</v>
      </c>
    </row>
  </sheetData>
  <sheetProtection/>
  <printOptions/>
  <pageMargins left="0.787401575" right="0.787401575" top="0.984251969" bottom="0.984251969" header="0.4921259845" footer="0.4921259845"/>
  <pageSetup horizontalDpi="360" verticalDpi="36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C75"/>
  <sheetViews>
    <sheetView zoomScalePageLayoutView="0" workbookViewId="0" topLeftCell="A45">
      <selection activeCell="X21" sqref="X21"/>
    </sheetView>
  </sheetViews>
  <sheetFormatPr defaultColWidth="11.421875" defaultRowHeight="12.75"/>
  <cols>
    <col min="1" max="1" width="5.421875" style="0" customWidth="1"/>
    <col min="2" max="2" width="34.8515625" style="0" customWidth="1"/>
    <col min="3" max="3" width="14.28125" style="0" customWidth="1"/>
    <col min="4" max="4" width="17.28125" style="0" customWidth="1"/>
    <col min="5" max="5" width="13.57421875" style="0" customWidth="1"/>
    <col min="6" max="6" width="12.57421875" style="0" customWidth="1"/>
    <col min="7" max="7" width="7.8515625" style="0" customWidth="1"/>
    <col min="8" max="8" width="13.28125" style="0" customWidth="1"/>
    <col min="10" max="10" width="11.140625" style="0" customWidth="1"/>
    <col min="16" max="17" width="8.28125" style="0" customWidth="1"/>
    <col min="18" max="18" width="8.57421875" style="0" customWidth="1"/>
    <col min="19" max="19" width="6.28125" style="0" customWidth="1"/>
    <col min="20" max="20" width="14.7109375" style="0" customWidth="1"/>
    <col min="21" max="21" width="13.421875" style="0" customWidth="1"/>
    <col min="22" max="22" width="11.140625" style="0" customWidth="1"/>
    <col min="23" max="23" width="7.57421875" style="0" customWidth="1"/>
    <col min="24" max="24" width="9.140625" style="0" customWidth="1"/>
    <col min="25" max="25" width="6.57421875" style="0" customWidth="1"/>
    <col min="26" max="26" width="7.7109375" style="0" customWidth="1"/>
  </cols>
  <sheetData>
    <row r="2" ht="24">
      <c r="B2" s="1" t="s">
        <v>53</v>
      </c>
    </row>
    <row r="3" ht="16.5" customHeight="1">
      <c r="B3" s="1"/>
    </row>
    <row r="4" ht="15">
      <c r="B4" s="53" t="s">
        <v>54</v>
      </c>
    </row>
    <row r="5" spans="2:29" ht="16.5" customHeight="1" thickBot="1">
      <c r="B5" s="15"/>
      <c r="AA5" s="47" t="s">
        <v>55</v>
      </c>
      <c r="AC5" s="60" t="s">
        <v>65</v>
      </c>
    </row>
    <row r="6" spans="2:25" ht="30.75">
      <c r="B6" s="2" t="s">
        <v>0</v>
      </c>
      <c r="C6" s="3"/>
      <c r="D6" s="4"/>
      <c r="H6" s="22" t="s">
        <v>36</v>
      </c>
      <c r="I6" s="23" t="s">
        <v>37</v>
      </c>
      <c r="J6" s="23" t="s">
        <v>38</v>
      </c>
      <c r="K6" s="23" t="s">
        <v>39</v>
      </c>
      <c r="L6" s="23" t="s">
        <v>62</v>
      </c>
      <c r="M6" s="23" t="s">
        <v>40</v>
      </c>
      <c r="N6" s="23" t="s">
        <v>56</v>
      </c>
      <c r="O6" s="23" t="s">
        <v>41</v>
      </c>
      <c r="P6" s="52" t="s">
        <v>57</v>
      </c>
      <c r="R6" s="36" t="s">
        <v>43</v>
      </c>
      <c r="S6" s="37" t="s">
        <v>44</v>
      </c>
      <c r="T6" s="38" t="s">
        <v>45</v>
      </c>
      <c r="U6" s="38" t="s">
        <v>46</v>
      </c>
      <c r="V6" s="39" t="s">
        <v>19</v>
      </c>
      <c r="W6" s="37" t="s">
        <v>47</v>
      </c>
      <c r="X6" s="37" t="s">
        <v>48</v>
      </c>
      <c r="Y6" s="40" t="s">
        <v>49</v>
      </c>
    </row>
    <row r="7" spans="2:29" ht="15.75" thickBot="1">
      <c r="B7" s="5" t="s">
        <v>1</v>
      </c>
      <c r="C7" s="6">
        <v>52</v>
      </c>
      <c r="D7" s="7" t="s">
        <v>2</v>
      </c>
      <c r="H7" s="24" t="s">
        <v>42</v>
      </c>
      <c r="I7" s="21">
        <v>1</v>
      </c>
      <c r="J7" s="21">
        <v>10</v>
      </c>
      <c r="K7" s="21">
        <v>60</v>
      </c>
      <c r="L7" s="21">
        <v>300</v>
      </c>
      <c r="M7" s="21">
        <v>3600</v>
      </c>
      <c r="N7" s="21">
        <v>9000</v>
      </c>
      <c r="O7" s="21">
        <f>3600*5</f>
        <v>18000</v>
      </c>
      <c r="P7" s="25">
        <f>3600*10</f>
        <v>36000</v>
      </c>
      <c r="R7" s="41">
        <v>4000</v>
      </c>
      <c r="S7" s="21">
        <v>544</v>
      </c>
      <c r="T7" s="42">
        <v>0.54</v>
      </c>
      <c r="U7" s="49">
        <v>1</v>
      </c>
      <c r="V7" s="50">
        <v>0.45</v>
      </c>
      <c r="W7" s="21">
        <f aca="true" t="shared" si="0" ref="W7:W19">MIN(ROUND(T7*((1/T7)^(C$37/Y7)),3),1)</f>
        <v>0.566</v>
      </c>
      <c r="X7" s="21">
        <f>S7*V7*U7*W7</f>
        <v>138.55679999999998</v>
      </c>
      <c r="Y7" s="25">
        <v>5200</v>
      </c>
      <c r="AA7" s="15">
        <v>0.45</v>
      </c>
      <c r="AB7" s="51">
        <v>0.02</v>
      </c>
      <c r="AC7" s="51">
        <v>0.5</v>
      </c>
    </row>
    <row r="8" spans="2:29" ht="15">
      <c r="B8" s="5" t="s">
        <v>3</v>
      </c>
      <c r="C8" s="6">
        <v>10</v>
      </c>
      <c r="D8" s="7" t="s">
        <v>2</v>
      </c>
      <c r="H8" s="26">
        <f>B45</f>
        <v>10</v>
      </c>
      <c r="I8" s="27">
        <f>ROUND($D45*I$7/SQRT(I$7*($D45+$E45+$D$22*(1+$C$26/$C$25))+$C$26*$D$21*$D$21*(1+$C$26/$C$25)),1)</f>
        <v>119.4</v>
      </c>
      <c r="J8" s="28">
        <f>ROUND($D45*J$7/SQRT(J$7*($D45+$E45+$D$22*(1+$C$26/$C$25))+$C$26*$D$21*$D$21*(1+$C$26/$C$25)),1)</f>
        <v>382.1</v>
      </c>
      <c r="K8" s="28">
        <f>ROUND($D45*K$7/SQRT(K$7*($D45+$E45+$D$22*(1+$C$26/$C$25))+$C$26*$D$21*$D$21*(1+$C$26/$C$25)),1)</f>
        <v>936.9</v>
      </c>
      <c r="L8" s="28">
        <f>ROUND($D45*L$7/SQRT(L$7*($D45+$E45+$D$22*(1+$C$26/$C$25))+$C$26*$D$21*$D$21*(1+$C$26/$C$25)),1)</f>
        <v>2095.3</v>
      </c>
      <c r="M8" s="28">
        <f>ROUND($D45*M$7/SQRT(M$7*($D45+$E45+$D$22*(1+$C$26/$C$25))+$C$26*$D$21*$D$21*(1+$C$26/$C$25)),1)</f>
        <v>7258.7</v>
      </c>
      <c r="N8" s="28">
        <f>ROUND($D45*N$7/SQRT(N$7*($D45+$E45+$D$22*(1+$C$26/$C$25))+$C$26*$D$21*$D$21*(1+$C$26/$C$25)),1)</f>
        <v>11477.1</v>
      </c>
      <c r="O8" s="28">
        <f>ROUND($D45*O$7/SQRT(O$7*($D45+$E45+$D$22*(1+$C$26/$C$25))+$C$26*$D$21*$D$21*(1+$C$26/$C$25)),1)</f>
        <v>16231.1</v>
      </c>
      <c r="P8" s="29">
        <f>ROUND($D45*P$7/SQRT(P$7*($D45+$E45+$D$22*(1+$C$26/$C$25))+$C$26*$D$21*$D$21*(1+$C$26/$C$25)),1)</f>
        <v>22954.3</v>
      </c>
      <c r="R8" s="41">
        <f>R7+500</f>
        <v>4500</v>
      </c>
      <c r="S8" s="21">
        <v>873</v>
      </c>
      <c r="T8" s="42">
        <v>0.63</v>
      </c>
      <c r="U8" s="49">
        <v>1</v>
      </c>
      <c r="V8" s="50">
        <v>0.55</v>
      </c>
      <c r="W8" s="21">
        <f t="shared" si="0"/>
        <v>0.656</v>
      </c>
      <c r="X8" s="21">
        <f aca="true" t="shared" si="1" ref="X8:X19">S8*V8*U8*W8</f>
        <v>314.9784</v>
      </c>
      <c r="Y8" s="25">
        <v>4500</v>
      </c>
      <c r="AA8" s="15">
        <v>0.55</v>
      </c>
      <c r="AB8" s="51">
        <v>0.07</v>
      </c>
      <c r="AC8" s="51">
        <v>0.59</v>
      </c>
    </row>
    <row r="9" spans="2:29" ht="15">
      <c r="B9" s="5" t="s">
        <v>4</v>
      </c>
      <c r="C9" s="6">
        <v>0.98</v>
      </c>
      <c r="D9" s="7"/>
      <c r="H9" s="26">
        <f>B46</f>
        <v>10.5</v>
      </c>
      <c r="I9" s="30">
        <f>ROUND($D46*I$7/SQRT(I$7*($D46+$E46+$D$22*(1+$C$26/$C$25))+$C$26*$D$21*$D$21*(1+$C$26/$C$25)),1)</f>
        <v>94.1</v>
      </c>
      <c r="J9" s="31">
        <f>ROUND($D46*J$7/SQRT(J$7*($D46+$E46+$D$22*(1+$C$26/$C$25))+$C$26*$D$21*$D$21*(1+$C$26/$C$25)),1)</f>
        <v>303.1</v>
      </c>
      <c r="K9" s="31">
        <f>ROUND($D46*K$7/SQRT(K$7*($D46+$E46+$D$22*(1+$C$26/$C$25))+$C$26*$D$21*$D$21*(1+$C$26/$C$25)),1)</f>
        <v>743.7</v>
      </c>
      <c r="L9" s="31">
        <f>ROUND($D46*L$7/SQRT(L$7*($D46+$E46+$D$22*(1+$C$26/$C$25))+$C$26*$D$21*$D$21*(1+$C$26/$C$25)),1)</f>
        <v>1663.5</v>
      </c>
      <c r="M9" s="31">
        <f>ROUND($D46*M$7/SQRT(M$7*($D46+$E46+$D$22*(1+$C$26/$C$25))+$C$26*$D$21*$D$21*(1+$C$26/$C$25)),1)</f>
        <v>5762.9</v>
      </c>
      <c r="N9" s="31">
        <f>ROUND($D46*N$7/SQRT(N$7*($D46+$E46+$D$22*(1+$C$26/$C$25))+$C$26*$D$21*$D$21*(1+$C$26/$C$25)),1)</f>
        <v>9111.9</v>
      </c>
      <c r="O9" s="31">
        <f>ROUND($D46*O$7/SQRT(O$7*($D46+$E46+$D$22*(1+$C$26/$C$25))+$C$26*$D$21*$D$21*(1+$C$26/$C$25)),1)</f>
        <v>12886.2</v>
      </c>
      <c r="P9" s="32">
        <f>ROUND($D46*P$7/SQRT(P$7*($D46+$E46+$D$22*(1+$C$26/$C$25))+$C$26*$D$21*$D$21*(1+$C$26/$C$25)),1)</f>
        <v>18223.9</v>
      </c>
      <c r="R9" s="41">
        <f aca="true" t="shared" si="2" ref="R9:R19">R8+500</f>
        <v>5000</v>
      </c>
      <c r="S9" s="21">
        <v>999</v>
      </c>
      <c r="T9" s="42">
        <v>0.69</v>
      </c>
      <c r="U9" s="49">
        <v>1</v>
      </c>
      <c r="V9" s="50">
        <v>0.55</v>
      </c>
      <c r="W9" s="21">
        <f t="shared" si="0"/>
        <v>0.714</v>
      </c>
      <c r="X9" s="21">
        <f t="shared" si="1"/>
        <v>392.3073</v>
      </c>
      <c r="Y9" s="25">
        <v>4300</v>
      </c>
      <c r="AA9" s="15">
        <v>0.55</v>
      </c>
      <c r="AB9" s="51">
        <v>0.17</v>
      </c>
      <c r="AC9" s="51">
        <v>0.6</v>
      </c>
    </row>
    <row r="10" spans="2:29" ht="15">
      <c r="B10" s="5" t="s">
        <v>5</v>
      </c>
      <c r="C10" s="6">
        <v>0.98</v>
      </c>
      <c r="D10" s="7"/>
      <c r="H10" s="26">
        <f>B47</f>
        <v>11</v>
      </c>
      <c r="I10" s="30">
        <f>ROUND($D47*I$7/SQRT(I$7*($D47+$E47+$D$22*(1+$C$26/$C$25))+$C$26*$D$21*$D$21*(1+$C$26/$C$25)),1)</f>
        <v>73.9</v>
      </c>
      <c r="J10" s="31">
        <f>ROUND($D47*J$7/SQRT(J$7*($D47+$E47+$D$22*(1+$C$26/$C$25))+$C$26*$D$21*$D$21*(1+$C$26/$C$25)),1)</f>
        <v>240.3</v>
      </c>
      <c r="K10" s="31">
        <f>ROUND($D47*K$7/SQRT(K$7*($D47+$E47+$D$22*(1+$C$26/$C$25))+$C$26*$D$21*$D$21*(1+$C$26/$C$25)),1)</f>
        <v>590.2</v>
      </c>
      <c r="L10" s="31">
        <f>ROUND($D47*L$7/SQRT(L$7*($D47+$E47+$D$22*(1+$C$26/$C$25))+$C$26*$D$21*$D$21*(1+$C$26/$C$25)),1)</f>
        <v>1320.2</v>
      </c>
      <c r="M10" s="31">
        <f>ROUND($D47*M$7/SQRT(M$7*($D47+$E47+$D$22*(1+$C$26/$C$25))+$C$26*$D$21*$D$21*(1+$C$26/$C$25)),1)</f>
        <v>4573.9</v>
      </c>
      <c r="N10" s="31">
        <f>ROUND($D47*N$7/SQRT(N$7*($D47+$E47+$D$22*(1+$C$26/$C$25))+$C$26*$D$21*$D$21*(1+$C$26/$C$25)),1)</f>
        <v>7232</v>
      </c>
      <c r="O10" s="31">
        <f>ROUND($D47*O$7/SQRT(O$7*($D47+$E47+$D$22*(1+$C$26/$C$25))+$C$26*$D$21*$D$21*(1+$C$26/$C$25)),1)</f>
        <v>10227.6</v>
      </c>
      <c r="P10" s="32">
        <f>ROUND($D47*P$7/SQRT(P$7*($D47+$E47+$D$22*(1+$C$26/$C$25))+$C$26*$D$21*$D$21*(1+$C$26/$C$25)),1)</f>
        <v>14464</v>
      </c>
      <c r="R10" s="41">
        <f t="shared" si="2"/>
        <v>5500</v>
      </c>
      <c r="S10" s="21">
        <v>1069</v>
      </c>
      <c r="T10" s="42">
        <v>0.72</v>
      </c>
      <c r="U10" s="49">
        <v>1</v>
      </c>
      <c r="V10" s="50">
        <v>0.7</v>
      </c>
      <c r="W10" s="21">
        <f t="shared" si="0"/>
        <v>0.743</v>
      </c>
      <c r="X10" s="21">
        <f t="shared" si="1"/>
        <v>555.9869</v>
      </c>
      <c r="Y10" s="25">
        <v>4200</v>
      </c>
      <c r="AA10" s="15">
        <v>0.7</v>
      </c>
      <c r="AB10" s="51">
        <v>0.23</v>
      </c>
      <c r="AC10" s="51">
        <v>0.55</v>
      </c>
    </row>
    <row r="11" spans="2:29" ht="15">
      <c r="B11" s="5" t="s">
        <v>6</v>
      </c>
      <c r="C11" s="6">
        <v>2500</v>
      </c>
      <c r="D11" s="7" t="s">
        <v>7</v>
      </c>
      <c r="H11" s="26">
        <f>B48</f>
        <v>11.5</v>
      </c>
      <c r="I11" s="30">
        <f>ROUND($D48*I$7/SQRT(I$7*($D48+$E48+$D$22*(1+$C$26/$C$25))+$C$26*$D$21*$D$21*(1+$C$26/$C$25)),1)</f>
        <v>57.6</v>
      </c>
      <c r="J11" s="31">
        <f>ROUND($D48*J$7/SQRT(J$7*($D48+$E48+$D$22*(1+$C$26/$C$25))+$C$26*$D$21*$D$21*(1+$C$26/$C$25)),1)</f>
        <v>190.3</v>
      </c>
      <c r="K11" s="31">
        <f>ROUND($D48*K$7/SQRT(K$7*($D48+$E48+$D$22*(1+$C$26/$C$25))+$C$26*$D$21*$D$21*(1+$C$26/$C$25)),1)</f>
        <v>468</v>
      </c>
      <c r="L11" s="31">
        <f>ROUND($D48*L$7/SQRT(L$7*($D48+$E48+$D$22*(1+$C$26/$C$25))+$C$26*$D$21*$D$21*(1+$C$26/$C$25)),1)</f>
        <v>1047.3</v>
      </c>
      <c r="M11" s="31">
        <f>ROUND($D48*M$7/SQRT(M$7*($D48+$E48+$D$22*(1+$C$26/$C$25))+$C$26*$D$21*$D$21*(1+$C$26/$C$25)),1)</f>
        <v>3628.5</v>
      </c>
      <c r="N11" s="31">
        <f>ROUND($D48*N$7/SQRT(N$7*($D48+$E48+$D$22*(1+$C$26/$C$25))+$C$26*$D$21*$D$21*(1+$C$26/$C$25)),1)</f>
        <v>5737.2</v>
      </c>
      <c r="O11" s="31">
        <f>ROUND($D48*O$7/SQRT(O$7*($D48+$E48+$D$22*(1+$C$26/$C$25))+$C$26*$D$21*$D$21*(1+$C$26/$C$25)),1)</f>
        <v>8113.7</v>
      </c>
      <c r="P11" s="32">
        <f>ROUND($D48*P$7/SQRT(P$7*($D48+$E48+$D$22*(1+$C$26/$C$25))+$C$26*$D$21*$D$21*(1+$C$26/$C$25)),1)</f>
        <v>11474.5</v>
      </c>
      <c r="R11" s="41">
        <f t="shared" si="2"/>
        <v>6000</v>
      </c>
      <c r="S11" s="21">
        <v>1109</v>
      </c>
      <c r="T11" s="42">
        <v>0.74</v>
      </c>
      <c r="U11" s="49">
        <v>1</v>
      </c>
      <c r="V11" s="50">
        <v>0.75</v>
      </c>
      <c r="W11" s="21">
        <f t="shared" si="0"/>
        <v>0.766</v>
      </c>
      <c r="X11" s="21">
        <f t="shared" si="1"/>
        <v>637.1205</v>
      </c>
      <c r="Y11" s="25">
        <v>3500</v>
      </c>
      <c r="AA11" s="15">
        <v>0.75</v>
      </c>
      <c r="AB11" s="51">
        <v>0.25</v>
      </c>
      <c r="AC11" s="51">
        <v>0.48</v>
      </c>
    </row>
    <row r="12" spans="2:29" ht="15.75" thickBot="1">
      <c r="B12" s="8"/>
      <c r="C12" s="9"/>
      <c r="D12" s="10"/>
      <c r="H12" s="26">
        <f>B49</f>
        <v>12</v>
      </c>
      <c r="I12" s="30">
        <f>ROUND($D49*I$7/SQRT(I$7*($D49+$E49+$D$22*(1+$C$26/$C$25))+$C$26*$D$21*$D$21*(1+$C$26/$C$25)),1)</f>
        <v>44.4</v>
      </c>
      <c r="J12" s="31">
        <f>ROUND($D49*J$7/SQRT(J$7*($D49+$E49+$D$22*(1+$C$26/$C$25))+$C$26*$D$21*$D$21*(1+$C$26/$C$25)),1)</f>
        <v>150.4</v>
      </c>
      <c r="K12" s="31">
        <f>ROUND($D49*K$7/SQRT(K$7*($D49+$E49+$D$22*(1+$C$26/$C$25))+$C$26*$D$21*$D$21*(1+$C$26/$C$25)),1)</f>
        <v>370.8</v>
      </c>
      <c r="L12" s="31">
        <f>ROUND($D49*L$7/SQRT(L$7*($D49+$E49+$D$22*(1+$C$26/$C$25))+$C$26*$D$21*$D$21*(1+$C$26/$C$25)),1)</f>
        <v>830.1</v>
      </c>
      <c r="M12" s="31">
        <f>ROUND($D49*M$7/SQRT(M$7*($D49+$E49+$D$22*(1+$C$26/$C$25))+$C$26*$D$21*$D$21*(1+$C$26/$C$25)),1)</f>
        <v>2876.4</v>
      </c>
      <c r="N12" s="31">
        <f>ROUND($D49*N$7/SQRT(N$7*($D49+$E49+$D$22*(1+$C$26/$C$25))+$C$26*$D$21*$D$21*(1+$C$26/$C$25)),1)</f>
        <v>4548</v>
      </c>
      <c r="O12" s="31">
        <f>ROUND($D49*O$7/SQRT(O$7*($D49+$E49+$D$22*(1+$C$26/$C$25))+$C$26*$D$21*$D$21*(1+$C$26/$C$25)),1)</f>
        <v>6431.9</v>
      </c>
      <c r="P12" s="32">
        <f>ROUND($D49*P$7/SQRT(P$7*($D49+$E49+$D$22*(1+$C$26/$C$25))+$C$26*$D$21*$D$21*(1+$C$26/$C$25)),1)</f>
        <v>9096.1</v>
      </c>
      <c r="R12" s="41">
        <f t="shared" si="2"/>
        <v>6500</v>
      </c>
      <c r="S12" s="21">
        <v>1077</v>
      </c>
      <c r="T12" s="42">
        <v>0.78</v>
      </c>
      <c r="U12" s="49">
        <v>1</v>
      </c>
      <c r="V12" s="50">
        <v>0.8</v>
      </c>
      <c r="W12" s="21">
        <f t="shared" si="0"/>
        <v>0.802</v>
      </c>
      <c r="X12" s="21">
        <f t="shared" si="1"/>
        <v>691.0032000000001</v>
      </c>
      <c r="Y12" s="25">
        <v>3500</v>
      </c>
      <c r="AA12" s="15">
        <v>0.8</v>
      </c>
      <c r="AB12" s="51">
        <v>0.29</v>
      </c>
      <c r="AC12" s="51">
        <v>0.41</v>
      </c>
    </row>
    <row r="13" spans="2:29" ht="15">
      <c r="B13" s="17" t="s">
        <v>9</v>
      </c>
      <c r="C13" s="16">
        <f>C11/C7/10</f>
        <v>4.807692307692308</v>
      </c>
      <c r="D13" s="18"/>
      <c r="H13" s="26">
        <f>B50</f>
        <v>12.5</v>
      </c>
      <c r="I13" s="30">
        <f>ROUND($D50*I$7/SQRT(I$7*($D50+$E50+$D$22*(1+$C$26/$C$25))+$C$26*$D$21*$D$21*(1+$C$26/$C$25)),1)</f>
        <v>33.9</v>
      </c>
      <c r="J13" s="31">
        <f>ROUND($D50*J$7/SQRT(J$7*($D50+$E50+$D$22*(1+$C$26/$C$25))+$C$26*$D$21*$D$21*(1+$C$26/$C$25)),1)</f>
        <v>118.5</v>
      </c>
      <c r="K13" s="31">
        <f>ROUND($D50*K$7/SQRT(K$7*($D50+$E50+$D$22*(1+$C$26/$C$25))+$C$26*$D$21*$D$21*(1+$C$26/$C$25)),1)</f>
        <v>293.4</v>
      </c>
      <c r="L13" s="31">
        <f>ROUND($D50*L$7/SQRT(L$7*($D50+$E50+$D$22*(1+$C$26/$C$25))+$C$26*$D$21*$D$21*(1+$C$26/$C$25)),1)</f>
        <v>657.2</v>
      </c>
      <c r="M13" s="31">
        <f>ROUND($D50*M$7/SQRT(M$7*($D50+$E50+$D$22*(1+$C$26/$C$25))+$C$26*$D$21*$D$21*(1+$C$26/$C$25)),1)</f>
        <v>2277.5</v>
      </c>
      <c r="N13" s="31">
        <f>ROUND($D50*N$7/SQRT(N$7*($D50+$E50+$D$22*(1+$C$26/$C$25))+$C$26*$D$21*$D$21*(1+$C$26/$C$25)),1)</f>
        <v>3601.1</v>
      </c>
      <c r="O13" s="31">
        <f>ROUND($D50*O$7/SQRT(O$7*($D50+$E50+$D$22*(1+$C$26/$C$25))+$C$26*$D$21*$D$21*(1+$C$26/$C$25)),1)</f>
        <v>5092.7</v>
      </c>
      <c r="P13" s="32">
        <f>ROUND($D50*P$7/SQRT(P$7*($D50+$E50+$D$22*(1+$C$26/$C$25))+$C$26*$D$21*$D$21*(1+$C$26/$C$25)),1)</f>
        <v>7202.3</v>
      </c>
      <c r="R13" s="41">
        <f t="shared" si="2"/>
        <v>7000</v>
      </c>
      <c r="S13" s="21">
        <v>1050</v>
      </c>
      <c r="T13" s="42">
        <v>0.81</v>
      </c>
      <c r="U13" s="49">
        <v>1</v>
      </c>
      <c r="V13" s="50">
        <v>0.7</v>
      </c>
      <c r="W13" s="21">
        <f t="shared" si="0"/>
        <v>0.83</v>
      </c>
      <c r="X13" s="21">
        <f t="shared" si="1"/>
        <v>610.05</v>
      </c>
      <c r="Y13" s="25">
        <v>3500</v>
      </c>
      <c r="AA13" s="15">
        <v>0.7</v>
      </c>
      <c r="AB13" s="51">
        <v>0.3</v>
      </c>
      <c r="AC13" s="51">
        <v>0.32</v>
      </c>
    </row>
    <row r="14" spans="2:29" ht="16.5" customHeight="1">
      <c r="B14" t="s">
        <v>11</v>
      </c>
      <c r="C14" s="15">
        <f>ROUND(PI()*(C7*C7-C8*C8)/4*C9*C10,2)</f>
        <v>1964.19</v>
      </c>
      <c r="D14" t="s">
        <v>12</v>
      </c>
      <c r="H14" s="26">
        <f>B51</f>
        <v>13</v>
      </c>
      <c r="I14" s="30">
        <f>ROUND($D51*I$7/SQRT(I$7*($D51+$E51+$D$22*(1+$C$26/$C$25))+$C$26*$D$21*$D$21*(1+$C$26/$C$25)),1)</f>
        <v>25.3</v>
      </c>
      <c r="J14" s="31">
        <f>ROUND($D51*J$7/SQRT(J$7*($D51+$E51+$D$22*(1+$C$26/$C$25))+$C$26*$D$21*$D$21*(1+$C$26/$C$25)),1)</f>
        <v>93</v>
      </c>
      <c r="K14" s="31">
        <f>ROUND($D51*K$7/SQRT(K$7*($D51+$E51+$D$22*(1+$C$26/$C$25))+$C$26*$D$21*$D$21*(1+$C$26/$C$25)),1)</f>
        <v>231.6</v>
      </c>
      <c r="L14" s="31">
        <f>ROUND($D51*L$7/SQRT(L$7*($D51+$E51+$D$22*(1+$C$26/$C$25))+$C$26*$D$21*$D$21*(1+$C$26/$C$25)),1)</f>
        <v>519.3</v>
      </c>
      <c r="M14" s="31">
        <f>ROUND($D51*M$7/SQRT(M$7*($D51+$E51+$D$22*(1+$C$26/$C$25))+$C$26*$D$21*$D$21*(1+$C$26/$C$25)),1)</f>
        <v>1800</v>
      </c>
      <c r="N14" s="31">
        <f>ROUND($D51*N$7/SQRT(N$7*($D51+$E51+$D$22*(1+$C$26/$C$25))+$C$26*$D$21*$D$21*(1+$C$26/$C$25)),1)</f>
        <v>2846.1</v>
      </c>
      <c r="O14" s="31">
        <f>ROUND($D51*O$7/SQRT(O$7*($D51+$E51+$D$22*(1+$C$26/$C$25))+$C$26*$D$21*$D$21*(1+$C$26/$C$25)),1)</f>
        <v>4025.1</v>
      </c>
      <c r="P14" s="32">
        <f>ROUND($D51*P$7/SQRT(P$7*($D51+$E51+$D$22*(1+$C$26/$C$25))+$C$26*$D$21*$D$21*(1+$C$26/$C$25)),1)</f>
        <v>5692.3</v>
      </c>
      <c r="R14" s="41">
        <f t="shared" si="2"/>
        <v>7500</v>
      </c>
      <c r="S14" s="21">
        <v>1002</v>
      </c>
      <c r="T14" s="42">
        <v>0.82</v>
      </c>
      <c r="U14" s="49">
        <v>1</v>
      </c>
      <c r="V14" s="50">
        <v>0.55</v>
      </c>
      <c r="W14" s="21">
        <f t="shared" si="0"/>
        <v>0.839</v>
      </c>
      <c r="X14" s="21">
        <f t="shared" si="1"/>
        <v>462.3729</v>
      </c>
      <c r="Y14" s="25">
        <v>3400</v>
      </c>
      <c r="AA14" s="15">
        <v>0.55</v>
      </c>
      <c r="AB14" s="51">
        <v>0.24</v>
      </c>
      <c r="AC14" s="51">
        <v>0.22</v>
      </c>
    </row>
    <row r="15" spans="2:29" ht="15">
      <c r="B15" s="12" t="s">
        <v>32</v>
      </c>
      <c r="C15" s="15">
        <f>X21</f>
        <v>1662473.9118803386</v>
      </c>
      <c r="D15" t="s">
        <v>14</v>
      </c>
      <c r="H15" s="26">
        <f>B52</f>
        <v>13.5</v>
      </c>
      <c r="I15" s="30">
        <f>ROUND($D52*I$7/SQRT(I$7*($D52+$E52+$D$22*(1+$C$26/$C$25))+$C$26*$D$21*$D$21*(1+$C$26/$C$25)),1)</f>
        <v>18.5</v>
      </c>
      <c r="J15" s="31">
        <f>ROUND($D52*J$7/SQRT(J$7*($D52+$E52+$D$22*(1+$C$26/$C$25))+$C$26*$D$21*$D$21*(1+$C$26/$C$25)),1)</f>
        <v>72.5</v>
      </c>
      <c r="K15" s="31">
        <f>ROUND($D52*K$7/SQRT(K$7*($D52+$E52+$D$22*(1+$C$26/$C$25))+$C$26*$D$21*$D$21*(1+$C$26/$C$25)),1)</f>
        <v>182.2</v>
      </c>
      <c r="L15" s="31">
        <f>ROUND($D52*L$7/SQRT(L$7*($D52+$E52+$D$22*(1+$C$26/$C$25))+$C$26*$D$21*$D$21*(1+$C$26/$C$25)),1)</f>
        <v>409.1</v>
      </c>
      <c r="M15" s="31">
        <f>ROUND($D52*M$7/SQRT(M$7*($D52+$E52+$D$22*(1+$C$26/$C$25))+$C$26*$D$21*$D$21*(1+$C$26/$C$25)),1)</f>
        <v>1418.6</v>
      </c>
      <c r="N15" s="31">
        <f>ROUND($D52*N$7/SQRT(N$7*($D52+$E52+$D$22*(1+$C$26/$C$25))+$C$26*$D$21*$D$21*(1+$C$26/$C$25)),1)</f>
        <v>2243.1</v>
      </c>
      <c r="O15" s="31">
        <f>ROUND($D52*O$7/SQRT(O$7*($D52+$E52+$D$22*(1+$C$26/$C$25))+$C$26*$D$21*$D$21*(1+$C$26/$C$25)),1)</f>
        <v>3172.2</v>
      </c>
      <c r="P15" s="32">
        <f>ROUND($D52*P$7/SQRT(P$7*($D52+$E52+$D$22*(1+$C$26/$C$25))+$C$26*$D$21*$D$21*(1+$C$26/$C$25)),1)</f>
        <v>4486.3</v>
      </c>
      <c r="R15" s="41">
        <f>R14+500</f>
        <v>8000</v>
      </c>
      <c r="S15" s="21">
        <v>958</v>
      </c>
      <c r="T15" s="42">
        <v>0.79</v>
      </c>
      <c r="U15" s="49">
        <v>1</v>
      </c>
      <c r="V15" s="50">
        <v>0.5</v>
      </c>
      <c r="W15" s="21">
        <f t="shared" si="0"/>
        <v>0.812</v>
      </c>
      <c r="X15" s="21">
        <f t="shared" si="1"/>
        <v>388.94800000000004</v>
      </c>
      <c r="Y15" s="25">
        <v>3400</v>
      </c>
      <c r="AA15" s="15">
        <v>0.5</v>
      </c>
      <c r="AB15" s="51">
        <v>0.24</v>
      </c>
      <c r="AC15" s="51">
        <v>0.16</v>
      </c>
    </row>
    <row r="16" spans="2:29" ht="15">
      <c r="B16" t="s">
        <v>13</v>
      </c>
      <c r="C16" s="15">
        <f>C15*C14</f>
        <v>3265414632.976242</v>
      </c>
      <c r="D16" t="s">
        <v>14</v>
      </c>
      <c r="H16" s="26">
        <f>B53</f>
        <v>14</v>
      </c>
      <c r="I16" s="30">
        <f>ROUND($D53*I$7/SQRT(I$7*($D53+$E53+$D$22*(1+$C$26/$C$25))+$C$26*$D$21*$D$21*(1+$C$26/$C$25)),1)</f>
        <v>13.2</v>
      </c>
      <c r="J16" s="31">
        <f>ROUND($D53*J$7/SQRT(J$7*($D53+$E53+$D$22*(1+$C$26/$C$25))+$C$26*$D$21*$D$21*(1+$C$26/$C$25)),1)</f>
        <v>56</v>
      </c>
      <c r="K16" s="31">
        <f>ROUND($D53*K$7/SQRT(K$7*($D53+$E53+$D$22*(1+$C$26/$C$25))+$C$26*$D$21*$D$21*(1+$C$26/$C$25)),1)</f>
        <v>142.6</v>
      </c>
      <c r="L16" s="31">
        <f>ROUND($D53*L$7/SQRT(L$7*($D53+$E53+$D$22*(1+$C$26/$C$25))+$C$26*$D$21*$D$21*(1+$C$26/$C$25)),1)</f>
        <v>320.8</v>
      </c>
      <c r="M16" s="31">
        <f>ROUND($D53*M$7/SQRT(M$7*($D53+$E53+$D$22*(1+$C$26/$C$25))+$C$26*$D$21*$D$21*(1+$C$26/$C$25)),1)</f>
        <v>1113.1</v>
      </c>
      <c r="N16" s="31">
        <f>ROUND($D53*N$7/SQRT(N$7*($D53+$E53+$D$22*(1+$C$26/$C$25))+$C$26*$D$21*$D$21*(1+$C$26/$C$25)),1)</f>
        <v>1760.1</v>
      </c>
      <c r="O16" s="31">
        <f>ROUND($D53*O$7/SQRT(O$7*($D53+$E53+$D$22*(1+$C$26/$C$25))+$C$26*$D$21*$D$21*(1+$C$26/$C$25)),1)</f>
        <v>2489.3</v>
      </c>
      <c r="P16" s="32">
        <f>ROUND($D53*P$7/SQRT(P$7*($D53+$E53+$D$22*(1+$C$26/$C$25))+$C$26*$D$21*$D$21*(1+$C$26/$C$25)),1)</f>
        <v>3520.4</v>
      </c>
      <c r="R16" s="41">
        <f>R15+500</f>
        <v>8500</v>
      </c>
      <c r="S16" s="21">
        <v>895</v>
      </c>
      <c r="T16" s="42">
        <v>0.8</v>
      </c>
      <c r="U16" s="49">
        <v>1</v>
      </c>
      <c r="V16" s="50">
        <v>0.35</v>
      </c>
      <c r="W16" s="21">
        <f t="shared" si="0"/>
        <v>0.821</v>
      </c>
      <c r="X16" s="21">
        <f t="shared" si="1"/>
        <v>257.17825</v>
      </c>
      <c r="Y16" s="25">
        <v>3400</v>
      </c>
      <c r="AA16" s="15">
        <v>0.35</v>
      </c>
      <c r="AB16" s="51">
        <v>0.2</v>
      </c>
      <c r="AC16" s="51">
        <v>0.08</v>
      </c>
    </row>
    <row r="17" spans="2:29" ht="15">
      <c r="B17" t="s">
        <v>58</v>
      </c>
      <c r="C17">
        <f>0.001*2*1.22*0.55*C13</f>
        <v>0.006451923076923078</v>
      </c>
      <c r="D17" t="s">
        <v>21</v>
      </c>
      <c r="H17" s="26">
        <f>B54</f>
        <v>14.5</v>
      </c>
      <c r="I17" s="30">
        <f>ROUND($D54*I$7/SQRT(I$7*($D54+$E54+$D$22*(1+$C$26/$C$25))+$C$26*$D$21*$D$21*(1+$C$26/$C$25)),1)</f>
        <v>9.2</v>
      </c>
      <c r="J17" s="31">
        <f>ROUND($D54*J$7/SQRT(J$7*($D54+$E54+$D$22*(1+$C$26/$C$25))+$C$26*$D$21*$D$21*(1+$C$26/$C$25)),1)</f>
        <v>42.7</v>
      </c>
      <c r="K17" s="31">
        <f>ROUND($D54*K$7/SQRT(K$7*($D54+$E54+$D$22*(1+$C$26/$C$25))+$C$26*$D$21*$D$21*(1+$C$26/$C$25)),1)</f>
        <v>110.7</v>
      </c>
      <c r="L17" s="31">
        <f>ROUND($D54*L$7/SQRT(L$7*($D54+$E54+$D$22*(1+$C$26/$C$25))+$C$26*$D$21*$D$21*(1+$C$26/$C$25)),1)</f>
        <v>249.9</v>
      </c>
      <c r="M17" s="31">
        <f>ROUND($D54*M$7/SQRT(M$7*($D54+$E54+$D$22*(1+$C$26/$C$25))+$C$26*$D$21*$D$21*(1+$C$26/$C$25)),1)</f>
        <v>867.7</v>
      </c>
      <c r="N17" s="31">
        <f>ROUND($D54*N$7/SQRT(N$7*($D54+$E54+$D$22*(1+$C$26/$C$25))+$C$26*$D$21*$D$21*(1+$C$26/$C$25)),1)</f>
        <v>1372.1</v>
      </c>
      <c r="O17" s="31">
        <f>ROUND($D54*O$7/SQRT(O$7*($D54+$E54+$D$22*(1+$C$26/$C$25))+$C$26*$D$21*$D$21*(1+$C$26/$C$25)),1)</f>
        <v>1940.6</v>
      </c>
      <c r="P17" s="32">
        <f>ROUND($D54*P$7/SQRT(P$7*($D54+$E54+$D$22*(1+$C$26/$C$25))+$C$26*$D$21*$D$21*(1+$C$26/$C$25)),1)</f>
        <v>2744.5</v>
      </c>
      <c r="R17" s="41">
        <f t="shared" si="2"/>
        <v>9000</v>
      </c>
      <c r="S17" s="21">
        <v>851</v>
      </c>
      <c r="T17" s="42">
        <v>0.86</v>
      </c>
      <c r="U17" s="49">
        <v>1</v>
      </c>
      <c r="V17" s="50">
        <v>0.25</v>
      </c>
      <c r="W17" s="21">
        <f t="shared" si="0"/>
        <v>0.875</v>
      </c>
      <c r="X17" s="21">
        <f t="shared" si="1"/>
        <v>186.15625</v>
      </c>
      <c r="Y17" s="25">
        <v>3400</v>
      </c>
      <c r="AA17" s="15">
        <v>0.25</v>
      </c>
      <c r="AB17" s="51">
        <v>0.15</v>
      </c>
      <c r="AC17" s="51">
        <v>0</v>
      </c>
    </row>
    <row r="18" spans="2:29" ht="15.75" thickBot="1">
      <c r="B18" t="s">
        <v>58</v>
      </c>
      <c r="C18">
        <f>ROUND(C17*180*3600/PI()/C11,3)</f>
        <v>0.532</v>
      </c>
      <c r="D18" t="s">
        <v>8</v>
      </c>
      <c r="H18" s="26">
        <f>B55</f>
        <v>15</v>
      </c>
      <c r="I18" s="30">
        <f>ROUND($D55*I$7/SQRT(I$7*($D55+$E55+$D$22*(1+$C$26/$C$25))+$C$26*$D$21*$D$21*(1+$C$26/$C$25)),1)</f>
        <v>6.2</v>
      </c>
      <c r="J18" s="31">
        <f>ROUND($D55*J$7/SQRT(J$7*($D55+$E55+$D$22*(1+$C$26/$C$25))+$C$26*$D$21*$D$21*(1+$C$26/$C$25)),1)</f>
        <v>31.9</v>
      </c>
      <c r="K18" s="31">
        <f>ROUND($D55*K$7/SQRT(K$7*($D55+$E55+$D$22*(1+$C$26/$C$25))+$C$26*$D$21*$D$21*(1+$C$26/$C$25)),1)</f>
        <v>85</v>
      </c>
      <c r="L18" s="31">
        <f>ROUND($D55*L$7/SQRT(L$7*($D55+$E55+$D$22*(1+$C$26/$C$25))+$C$26*$D$21*$D$21*(1+$C$26/$C$25)),1)</f>
        <v>192.7</v>
      </c>
      <c r="M18" s="31">
        <f>ROUND($D55*M$7/SQRT(M$7*($D55+$E55+$D$22*(1+$C$26/$C$25))+$C$26*$D$21*$D$21*(1+$C$26/$C$25)),1)</f>
        <v>669.9</v>
      </c>
      <c r="N18" s="31">
        <f>ROUND($D55*N$7/SQRT(N$7*($D55+$E55+$D$22*(1+$C$26/$C$25))+$C$26*$D$21*$D$21*(1+$C$26/$C$25)),1)</f>
        <v>1059.5</v>
      </c>
      <c r="O18" s="31">
        <f>ROUND($D55*O$7/SQRT(O$7*($D55+$E55+$D$22*(1+$C$26/$C$25))+$C$26*$D$21*$D$21*(1+$C$26/$C$25)),1)</f>
        <v>1498.4</v>
      </c>
      <c r="P18" s="32">
        <f>ROUND($D55*P$7/SQRT(P$7*($D55+$E55+$D$22*(1+$C$26/$C$25))+$C$26*$D$21*$D$21*(1+$C$26/$C$25)),1)</f>
        <v>2119.1</v>
      </c>
      <c r="R18" s="41">
        <f t="shared" si="2"/>
        <v>9500</v>
      </c>
      <c r="S18" s="21">
        <v>811</v>
      </c>
      <c r="T18" s="42">
        <v>0.93</v>
      </c>
      <c r="U18" s="49">
        <v>1</v>
      </c>
      <c r="V18" s="50">
        <v>0.15</v>
      </c>
      <c r="W18" s="21">
        <f t="shared" si="0"/>
        <v>0.938</v>
      </c>
      <c r="X18" s="21">
        <f t="shared" si="1"/>
        <v>114.10769999999998</v>
      </c>
      <c r="Y18" s="25">
        <v>3400</v>
      </c>
      <c r="AA18" s="15">
        <v>0.15</v>
      </c>
      <c r="AB18" s="51">
        <v>0.07</v>
      </c>
      <c r="AC18" s="51">
        <v>0</v>
      </c>
    </row>
    <row r="19" spans="2:29" ht="18" thickBot="1">
      <c r="B19" s="62" t="s">
        <v>67</v>
      </c>
      <c r="C19" s="64"/>
      <c r="D19" s="64"/>
      <c r="E19" s="65"/>
      <c r="H19" s="26">
        <f>B56</f>
        <v>15.5</v>
      </c>
      <c r="I19" s="30">
        <f>ROUND($D56*I$7/SQRT(I$7*($D56+$E56+$D$22*(1+$C$26/$C$25))+$C$26*$D$21*$D$21*(1+$C$26/$C$25)),1)</f>
        <v>4.1</v>
      </c>
      <c r="J19" s="31">
        <f>ROUND($D56*J$7/SQRT(J$7*($D56+$E56+$D$22*(1+$C$26/$C$25))+$C$26*$D$21*$D$21*(1+$C$26/$C$25)),1)</f>
        <v>23.4</v>
      </c>
      <c r="K19" s="31">
        <f>ROUND($D56*K$7/SQRT(K$7*($D56+$E56+$D$22*(1+$C$26/$C$25))+$C$26*$D$21*$D$21*(1+$C$26/$C$25)),1)</f>
        <v>64.2</v>
      </c>
      <c r="L19" s="31">
        <f>ROUND($D56*L$7/SQRT(L$7*($D56+$E56+$D$22*(1+$C$26/$C$25))+$C$26*$D$21*$D$21*(1+$C$26/$C$25)),1)</f>
        <v>146.6</v>
      </c>
      <c r="M19" s="31">
        <f>ROUND($D56*M$7/SQRT(M$7*($D56+$E56+$D$22*(1+$C$26/$C$25))+$C$26*$D$21*$D$21*(1+$C$26/$C$25)),1)</f>
        <v>510.3</v>
      </c>
      <c r="N19" s="31">
        <f>ROUND($D56*N$7/SQRT(N$7*($D56+$E56+$D$22*(1+$C$26/$C$25))+$C$26*$D$21*$D$21*(1+$C$26/$C$25)),1)</f>
        <v>807.1</v>
      </c>
      <c r="O19" s="31">
        <f>ROUND($D56*O$7/SQRT(O$7*($D56+$E56+$D$22*(1+$C$26/$C$25))+$C$26*$D$21*$D$21*(1+$C$26/$C$25)),1)</f>
        <v>1141.5</v>
      </c>
      <c r="P19" s="32">
        <f>ROUND($D56*P$7/SQRT(P$7*($D56+$E56+$D$22*(1+$C$26/$C$25))+$C$26*$D$21*$D$21*(1+$C$26/$C$25)),1)</f>
        <v>1614.3</v>
      </c>
      <c r="R19" s="43">
        <f t="shared" si="2"/>
        <v>10000</v>
      </c>
      <c r="S19" s="44">
        <v>755</v>
      </c>
      <c r="T19" s="45">
        <v>0.97</v>
      </c>
      <c r="U19" s="49">
        <v>1</v>
      </c>
      <c r="V19" s="50">
        <v>0.05</v>
      </c>
      <c r="W19" s="44">
        <f t="shared" si="0"/>
        <v>0.973</v>
      </c>
      <c r="X19" s="44">
        <f t="shared" si="1"/>
        <v>36.73075</v>
      </c>
      <c r="Y19" s="46">
        <v>3400</v>
      </c>
      <c r="AA19" s="15">
        <v>0.05</v>
      </c>
      <c r="AB19" s="51">
        <v>0.04</v>
      </c>
      <c r="AC19" s="51">
        <v>0</v>
      </c>
    </row>
    <row r="20" spans="2:16" ht="17.25">
      <c r="B20" s="61" t="s">
        <v>91</v>
      </c>
      <c r="C20" s="68">
        <v>1</v>
      </c>
      <c r="D20" s="70"/>
      <c r="E20" s="69"/>
      <c r="F20" s="18"/>
      <c r="H20" s="26">
        <f>B57</f>
        <v>16</v>
      </c>
      <c r="I20" s="30">
        <f>ROUND($D57*I$7/SQRT(I$7*($D57+$E57+$D$22*(1+$C$26/$C$25))+$C$26*$D$21*$D$21*(1+$C$26/$C$25)),1)</f>
        <v>2.7</v>
      </c>
      <c r="J20" s="31">
        <f>ROUND($D57*J$7/SQRT(J$7*($D57+$E57+$D$22*(1+$C$26/$C$25))+$C$26*$D$21*$D$21*(1+$C$26/$C$25)),1)</f>
        <v>16.7</v>
      </c>
      <c r="K20" s="31">
        <f>ROUND($D57*K$7/SQRT(K$7*($D57+$E57+$D$22*(1+$C$26/$C$25))+$C$26*$D$21*$D$21*(1+$C$26/$C$25)),1)</f>
        <v>47.5</v>
      </c>
      <c r="L20" s="31">
        <f>ROUND($D57*L$7/SQRT(L$7*($D57+$E57+$D$22*(1+$C$26/$C$25))+$C$26*$D$21*$D$21*(1+$C$26/$C$25)),1)</f>
        <v>109.4</v>
      </c>
      <c r="M20" s="31">
        <f>ROUND($D57*M$7/SQRT(M$7*($D57+$E57+$D$22*(1+$C$26/$C$25))+$C$26*$D$21*$D$21*(1+$C$26/$C$25)),1)</f>
        <v>381.7</v>
      </c>
      <c r="N20" s="31">
        <f>ROUND($D57*N$7/SQRT(N$7*($D57+$E57+$D$22*(1+$C$26/$C$25))+$C$26*$D$21*$D$21*(1+$C$26/$C$25)),1)</f>
        <v>603.8</v>
      </c>
      <c r="O20" s="31">
        <f>ROUND($D57*O$7/SQRT(O$7*($D57+$E57+$D$22*(1+$C$26/$C$25))+$C$26*$D$21*$D$21*(1+$C$26/$C$25)),1)</f>
        <v>854</v>
      </c>
      <c r="P20" s="32">
        <f>ROUND($D57*P$7/SQRT(P$7*($D57+$E57+$D$22*(1+$C$26/$C$25))+$C$26*$D$21*$D$21*(1+$C$26/$C$25)),1)</f>
        <v>1207.8</v>
      </c>
    </row>
    <row r="21" spans="2:24" ht="15">
      <c r="B21" s="5" t="s">
        <v>15</v>
      </c>
      <c r="C21" s="68">
        <v>4</v>
      </c>
      <c r="D21" s="16">
        <f>(1-C20)*SQRT(C24*C24)*C21+C20*C21</f>
        <v>4</v>
      </c>
      <c r="E21" s="75" t="s">
        <v>16</v>
      </c>
      <c r="F21" s="18"/>
      <c r="H21" s="26">
        <f>B58</f>
        <v>16.5</v>
      </c>
      <c r="I21" s="30">
        <f>ROUND($D58*I$7/SQRT(I$7*($D58+$E58+$D$22*(1+$C$26/$C$25))+$C$26*$D$21*$D$21*(1+$C$26/$C$25)),1)</f>
        <v>1.7</v>
      </c>
      <c r="J21" s="31">
        <f>ROUND($D58*J$7/SQRT(J$7*($D58+$E58+$D$22*(1+$C$26/$C$25))+$C$26*$D$21*$D$21*(1+$C$26/$C$25)),1)</f>
        <v>11.6</v>
      </c>
      <c r="K21" s="31">
        <f>ROUND($D58*K$7/SQRT(K$7*($D58+$E58+$D$22*(1+$C$26/$C$25))+$C$26*$D$21*$D$21*(1+$C$26/$C$25)),1)</f>
        <v>34.4</v>
      </c>
      <c r="L21" s="31">
        <f>ROUND($D58*L$7/SQRT(L$7*($D58+$E58+$D$22*(1+$C$26/$C$25))+$C$26*$D$21*$D$21*(1+$C$26/$C$25)),1)</f>
        <v>79.9</v>
      </c>
      <c r="M21" s="31">
        <f>ROUND($D58*M$7/SQRT(M$7*($D58+$E58+$D$22*(1+$C$26/$C$25))+$C$26*$D$21*$D$21*(1+$C$26/$C$25)),1)</f>
        <v>279.2</v>
      </c>
      <c r="N21" s="31">
        <f>ROUND($D58*N$7/SQRT(N$7*($D58+$E58+$D$22*(1+$C$26/$C$25))+$C$26*$D$21*$D$21*(1+$C$26/$C$25)),1)</f>
        <v>441.7</v>
      </c>
      <c r="O21" s="31">
        <f>ROUND($D58*O$7/SQRT(O$7*($D58+$E58+$D$22*(1+$C$26/$C$25))+$C$26*$D$21*$D$21*(1+$C$26/$C$25)),1)</f>
        <v>624.8</v>
      </c>
      <c r="P21" s="32">
        <f>ROUND($D58*P$7/SQRT(P$7*($D58+$E58+$D$22*(1+$C$26/$C$25))+$C$26*$D$21*$D$21*(1+$C$26/$C$25)),1)</f>
        <v>883.6</v>
      </c>
      <c r="U21">
        <f>SUM(U7:U19)</f>
        <v>13</v>
      </c>
      <c r="X21">
        <f>500*(SUM(X8:X18)+0.5*(X7+X19))/C$42</f>
        <v>1662473.9118803386</v>
      </c>
    </row>
    <row r="22" spans="2:16" ht="15">
      <c r="B22" s="5" t="s">
        <v>17</v>
      </c>
      <c r="C22" s="68">
        <v>0.5</v>
      </c>
      <c r="D22" s="16">
        <f>C24*C24*C22</f>
        <v>0.5</v>
      </c>
      <c r="E22" s="75" t="s">
        <v>18</v>
      </c>
      <c r="F22" s="18"/>
      <c r="H22" s="26">
        <f>B59</f>
        <v>17</v>
      </c>
      <c r="I22" s="30">
        <f>ROUND($D59*I$7/SQRT(I$7*($D59+$E59+$D$22*(1+$C$26/$C$25))+$C$26*$D$21*$D$21*(1+$C$26/$C$25)),1)</f>
        <v>1.1</v>
      </c>
      <c r="J22" s="31">
        <f>ROUND($D59*J$7/SQRT(J$7*($D59+$E59+$D$22*(1+$C$26/$C$25))+$C$26*$D$21*$D$21*(1+$C$26/$C$25)),1)</f>
        <v>7.9</v>
      </c>
      <c r="K22" s="31">
        <f>ROUND($D59*K$7/SQRT(K$7*($D59+$E59+$D$22*(1+$C$26/$C$25))+$C$26*$D$21*$D$21*(1+$C$26/$C$25)),1)</f>
        <v>24.2</v>
      </c>
      <c r="L22" s="31">
        <f>ROUND($D59*L$7/SQRT(L$7*($D59+$E59+$D$22*(1+$C$26/$C$25))+$C$26*$D$21*$D$21*(1+$C$26/$C$25)),1)</f>
        <v>56.8</v>
      </c>
      <c r="M22" s="31">
        <f>ROUND($D59*M$7/SQRT(M$7*($D59+$E59+$D$22*(1+$C$26/$C$25))+$C$26*$D$21*$D$21*(1+$C$26/$C$25)),1)</f>
        <v>199.1</v>
      </c>
      <c r="N22" s="31">
        <f>ROUND($D59*N$7/SQRT(N$7*($D59+$E59+$D$22*(1+$C$26/$C$25))+$C$26*$D$21*$D$21*(1+$C$26/$C$25)),1)</f>
        <v>315</v>
      </c>
      <c r="O22" s="31">
        <f>ROUND($D59*O$7/SQRT(O$7*($D59+$E59+$D$22*(1+$C$26/$C$25))+$C$26*$D$21*$D$21*(1+$C$26/$C$25)),1)</f>
        <v>445.6</v>
      </c>
      <c r="P22" s="32">
        <f>ROUND($D59*P$7/SQRT(P$7*($D59+$E59+$D$22*(1+$C$26/$C$25))+$C$26*$D$21*$D$21*(1+$C$26/$C$25)),1)</f>
        <v>630.2</v>
      </c>
    </row>
    <row r="23" spans="2:16" ht="15">
      <c r="B23" s="5" t="s">
        <v>20</v>
      </c>
      <c r="C23" s="68">
        <v>6.7</v>
      </c>
      <c r="D23" s="16">
        <f>C24*C23</f>
        <v>6.7</v>
      </c>
      <c r="E23" s="75" t="s">
        <v>21</v>
      </c>
      <c r="H23" s="26">
        <f>B60</f>
        <v>17.5</v>
      </c>
      <c r="I23" s="30">
        <f>ROUND($D60*I$7/SQRT(I$7*($D60+$E60+$D$22*(1+$C$26/$C$25))+$C$26*$D$21*$D$21*(1+$C$26/$C$25)),1)</f>
        <v>0.7</v>
      </c>
      <c r="J23" s="31">
        <f>ROUND($D60*J$7/SQRT(J$7*($D60+$E60+$D$22*(1+$C$26/$C$25))+$C$26*$D$21*$D$21*(1+$C$26/$C$25)),1)</f>
        <v>5.2</v>
      </c>
      <c r="K23" s="31">
        <f>ROUND($D60*K$7/SQRT(K$7*($D60+$E60+$D$22*(1+$C$26/$C$25))+$C$26*$D$21*$D$21*(1+$C$26/$C$25)),1)</f>
        <v>16.6</v>
      </c>
      <c r="L23" s="31">
        <f>ROUND($D60*L$7/SQRT(L$7*($D60+$E60+$D$22*(1+$C$26/$C$25))+$C$26*$D$21*$D$21*(1+$C$26/$C$25)),1)</f>
        <v>39.4</v>
      </c>
      <c r="M23" s="31">
        <f>ROUND($D60*M$7/SQRT(M$7*($D60+$E60+$D$22*(1+$C$26/$C$25))+$C$26*$D$21*$D$21*(1+$C$26/$C$25)),1)</f>
        <v>138.3</v>
      </c>
      <c r="N23" s="31">
        <f>ROUND($D60*N$7/SQRT(N$7*($D60+$E60+$D$22*(1+$C$26/$C$25))+$C$26*$D$21*$D$21*(1+$C$26/$C$25)),1)</f>
        <v>218.8</v>
      </c>
      <c r="O23" s="31">
        <f>ROUND($D60*O$7/SQRT(O$7*($D60+$E60+$D$22*(1+$C$26/$C$25))+$C$26*$D$21*$D$21*(1+$C$26/$C$25)),1)</f>
        <v>309.5</v>
      </c>
      <c r="P23" s="32">
        <f>ROUND($D60*P$7/SQRT(P$7*($D60+$E60+$D$22*(1+$C$26/$C$25))+$C$26*$D$21*$D$21*(1+$C$26/$C$25)),1)</f>
        <v>437.8</v>
      </c>
    </row>
    <row r="24" spans="2:16" ht="15">
      <c r="B24" s="5" t="s">
        <v>66</v>
      </c>
      <c r="C24" s="6">
        <v>1</v>
      </c>
      <c r="D24" s="18"/>
      <c r="E24" s="78"/>
      <c r="H24" s="26">
        <f>B61</f>
        <v>18</v>
      </c>
      <c r="I24" s="30">
        <f>ROUND($D61*I$7/SQRT(I$7*($D61+$E61+$D$22*(1+$C$26/$C$25))+$C$26*$D$21*$D$21*(1+$C$26/$C$25)),1)</f>
        <v>0.5</v>
      </c>
      <c r="J24" s="31">
        <f>ROUND($D61*J$7/SQRT(J$7*($D61+$E61+$D$22*(1+$C$26/$C$25))+$C$26*$D$21*$D$21*(1+$C$26/$C$25)),1)</f>
        <v>3.4</v>
      </c>
      <c r="K24" s="31">
        <f>ROUND($D61*K$7/SQRT(K$7*($D61+$E61+$D$22*(1+$C$26/$C$25))+$C$26*$D$21*$D$21*(1+$C$26/$C$25)),1)</f>
        <v>11.1</v>
      </c>
      <c r="L24" s="31">
        <f>ROUND($D61*L$7/SQRT(L$7*($D61+$E61+$D$22*(1+$C$26/$C$25))+$C$26*$D$21*$D$21*(1+$C$26/$C$25)),1)</f>
        <v>26.6</v>
      </c>
      <c r="M24" s="31">
        <f>ROUND($D61*M$7/SQRT(M$7*($D61+$E61+$D$22*(1+$C$26/$C$25))+$C$26*$D$21*$D$21*(1+$C$26/$C$25)),1)</f>
        <v>93.7</v>
      </c>
      <c r="N24" s="31">
        <f>ROUND($D61*N$7/SQRT(N$7*($D61+$E61+$D$22*(1+$C$26/$C$25))+$C$26*$D$21*$D$21*(1+$C$26/$C$25)),1)</f>
        <v>148.4</v>
      </c>
      <c r="O24" s="31">
        <f>ROUND($D61*O$7/SQRT(O$7*($D61+$E61+$D$22*(1+$C$26/$C$25))+$C$26*$D$21*$D$21*(1+$C$26/$C$25)),1)</f>
        <v>209.9</v>
      </c>
      <c r="P24" s="32">
        <f>ROUND($D61*P$7/SQRT(P$7*($D61+$E61+$D$22*(1+$C$26/$C$25))+$C$26*$D$21*$D$21*(1+$C$26/$C$25)),1)</f>
        <v>296.9</v>
      </c>
    </row>
    <row r="25" spans="2:16" ht="15">
      <c r="B25" s="5" t="s">
        <v>22</v>
      </c>
      <c r="C25" s="6">
        <v>100</v>
      </c>
      <c r="D25" s="18"/>
      <c r="E25" s="78"/>
      <c r="H25" s="26">
        <f>B62</f>
        <v>18.5</v>
      </c>
      <c r="I25" s="30">
        <f>ROUND($D62*I$7/SQRT(I$7*($D62+$E62+$D$22*(1+$C$26/$C$25))+$C$26*$D$21*$D$21*(1+$C$26/$C$25)),1)</f>
        <v>0.3</v>
      </c>
      <c r="J25" s="31">
        <f>ROUND($D62*J$7/SQRT(J$7*($D62+$E62+$D$22*(1+$C$26/$C$25))+$C$26*$D$21*$D$21*(1+$C$26/$C$25)),1)</f>
        <v>2.2</v>
      </c>
      <c r="K25" s="31">
        <f>ROUND($D62*K$7/SQRT(K$7*($D62+$E62+$D$22*(1+$C$26/$C$25))+$C$26*$D$21*$D$21*(1+$C$26/$C$25)),1)</f>
        <v>7.3</v>
      </c>
      <c r="L25" s="31">
        <f>ROUND($D62*L$7/SQRT(L$7*($D62+$E62+$D$22*(1+$C$26/$C$25))+$C$26*$D$21*$D$21*(1+$C$26/$C$25)),1)</f>
        <v>17.6</v>
      </c>
      <c r="M25" s="31">
        <f>ROUND($D62*M$7/SQRT(M$7*($D62+$E62+$D$22*(1+$C$26/$C$25))+$C$26*$D$21*$D$21*(1+$C$26/$C$25)),1)</f>
        <v>62.3</v>
      </c>
      <c r="N25" s="31">
        <f>ROUND($D62*N$7/SQRT(N$7*($D62+$E62+$D$22*(1+$C$26/$C$25))+$C$26*$D$21*$D$21*(1+$C$26/$C$25)),1)</f>
        <v>98.5</v>
      </c>
      <c r="O25" s="31">
        <f>ROUND($D62*O$7/SQRT(O$7*($D62+$E62+$D$22*(1+$C$26/$C$25))+$C$26*$D$21*$D$21*(1+$C$26/$C$25)),1)</f>
        <v>139.4</v>
      </c>
      <c r="P25" s="32">
        <f>ROUND($D62*P$7/SQRT(P$7*($D62+$E62+$D$22*(1+$C$26/$C$25))+$C$26*$D$21*$D$21*(1+$C$26/$C$25)),1)</f>
        <v>197.2</v>
      </c>
    </row>
    <row r="26" spans="2:16" ht="15.75" thickBot="1">
      <c r="B26" s="8" t="s">
        <v>23</v>
      </c>
      <c r="C26" s="9">
        <v>20</v>
      </c>
      <c r="D26" s="74"/>
      <c r="E26" s="79"/>
      <c r="H26" s="26">
        <f>B63</f>
        <v>19</v>
      </c>
      <c r="I26" s="30">
        <f>ROUND($D63*I$7/SQRT(I$7*($D63+$E63+$D$22*(1+$C$26/$C$25))+$C$26*$D$21*$D$21*(1+$C$26/$C$25)),1)</f>
        <v>0.2</v>
      </c>
      <c r="J26" s="31">
        <f>ROUND($D63*J$7/SQRT(J$7*($D63+$E63+$D$22*(1+$C$26/$C$25))+$C$26*$D$21*$D$21*(1+$C$26/$C$25)),1)</f>
        <v>1.4</v>
      </c>
      <c r="K26" s="31">
        <f>ROUND($D63*K$7/SQRT(K$7*($D63+$E63+$D$22*(1+$C$26/$C$25))+$C$26*$D$21*$D$21*(1+$C$26/$C$25)),1)</f>
        <v>4.8</v>
      </c>
      <c r="L26" s="31">
        <f>ROUND($D63*L$7/SQRT(L$7*($D63+$E63+$D$22*(1+$C$26/$C$25))+$C$26*$D$21*$D$21*(1+$C$26/$C$25)),1)</f>
        <v>11.5</v>
      </c>
      <c r="M26" s="31">
        <f>ROUND($D63*M$7/SQRT(M$7*($D63+$E63+$D$22*(1+$C$26/$C$25))+$C$26*$D$21*$D$21*(1+$C$26/$C$25)),1)</f>
        <v>40.7</v>
      </c>
      <c r="N26" s="31">
        <f>ROUND($D63*N$7/SQRT(N$7*($D63+$E63+$D$22*(1+$C$26/$C$25))+$C$26*$D$21*$D$21*(1+$C$26/$C$25)),1)</f>
        <v>64.4</v>
      </c>
      <c r="O26" s="31">
        <f>ROUND($D63*O$7/SQRT(O$7*($D63+$E63+$D$22*(1+$C$26/$C$25))+$C$26*$D$21*$D$21*(1+$C$26/$C$25)),1)</f>
        <v>91.1</v>
      </c>
      <c r="P26" s="32">
        <f>ROUND($D63*P$7/SQRT(P$7*($D63+$E63+$D$22*(1+$C$26/$C$25))+$C$26*$D$21*$D$21*(1+$C$26/$C$25)),1)</f>
        <v>128.9</v>
      </c>
    </row>
    <row r="27" spans="2:16" ht="15">
      <c r="B27" s="12" t="s">
        <v>24</v>
      </c>
      <c r="C27" s="21">
        <f>ROUND(MAX(C39/2/SQRT(LN(2)),C28),3)</f>
        <v>1.479</v>
      </c>
      <c r="D27" s="11" t="s">
        <v>25</v>
      </c>
      <c r="H27" s="26">
        <f>B64</f>
        <v>19.5</v>
      </c>
      <c r="I27" s="30">
        <f>ROUND($D64*I$7/SQRT(I$7*($D64+$E64+$D$22*(1+$C$26/$C$25))+$C$26*$D$21*$D$21*(1+$C$26/$C$25)),1)</f>
        <v>0.1</v>
      </c>
      <c r="J27" s="31">
        <f>ROUND($D64*J$7/SQRT(J$7*($D64+$E64+$D$22*(1+$C$26/$C$25))+$C$26*$D$21*$D$21*(1+$C$26/$C$25)),1)</f>
        <v>0.9</v>
      </c>
      <c r="K27" s="31">
        <f>ROUND($D64*K$7/SQRT(K$7*($D64+$E64+$D$22*(1+$C$26/$C$25))+$C$26*$D$21*$D$21*(1+$C$26/$C$25)),1)</f>
        <v>3.1</v>
      </c>
      <c r="L27" s="31">
        <f>ROUND($D64*L$7/SQRT(L$7*($D64+$E64+$D$22*(1+$C$26/$C$25))+$C$26*$D$21*$D$21*(1+$C$26/$C$25)),1)</f>
        <v>7.4</v>
      </c>
      <c r="M27" s="31">
        <f>ROUND($D64*M$7/SQRT(M$7*($D64+$E64+$D$22*(1+$C$26/$C$25))+$C$26*$D$21*$D$21*(1+$C$26/$C$25)),1)</f>
        <v>26.3</v>
      </c>
      <c r="N27" s="31">
        <f>ROUND($D64*N$7/SQRT(N$7*($D64+$E64+$D$22*(1+$C$26/$C$25))+$C$26*$D$21*$D$21*(1+$C$26/$C$25)),1)</f>
        <v>41.6</v>
      </c>
      <c r="O27" s="31">
        <f>ROUND($D64*O$7/SQRT(O$7*($D64+$E64+$D$22*(1+$C$26/$C$25))+$C$26*$D$21*$D$21*(1+$C$26/$C$25)),1)</f>
        <v>58.9</v>
      </c>
      <c r="P27" s="32">
        <f>ROUND($D64*P$7/SQRT(P$7*($D64+$E64+$D$22*(1+$C$26/$C$25))+$C$26*$D$21*$D$21*(1+$C$26/$C$25)),1)</f>
        <v>83.3</v>
      </c>
    </row>
    <row r="28" spans="2:16" ht="15">
      <c r="B28" s="12" t="s">
        <v>60</v>
      </c>
      <c r="C28" s="21">
        <f>ROUND(0.001*0.618*0.55*C13*180/PI()*3600/C11,4)</f>
        <v>0.1348</v>
      </c>
      <c r="D28" s="12" t="s">
        <v>25</v>
      </c>
      <c r="H28" s="26">
        <f>B65</f>
        <v>20</v>
      </c>
      <c r="I28" s="30">
        <f>ROUND($D65*I$7/SQRT(I$7*($D65+$E65+$D$22*(1+$C$26/$C$25))+$C$26*$D$21*$D$21*(1+$C$26/$C$25)),1)</f>
        <v>0.1</v>
      </c>
      <c r="J28" s="31">
        <f>ROUND($D65*J$7/SQRT(J$7*($D65+$E65+$D$22*(1+$C$26/$C$25))+$C$26*$D$21*$D$21*(1+$C$26/$C$25)),1)</f>
        <v>0.6</v>
      </c>
      <c r="K28" s="31">
        <f>ROUND($D65*K$7/SQRT(K$7*($D65+$E65+$D$22*(1+$C$26/$C$25))+$C$26*$D$21*$D$21*(1+$C$26/$C$25)),1)</f>
        <v>2</v>
      </c>
      <c r="L28" s="31">
        <f>ROUND($D65*L$7/SQRT(L$7*($D65+$E65+$D$22*(1+$C$26/$C$25))+$C$26*$D$21*$D$21*(1+$C$26/$C$25)),1)</f>
        <v>4.8</v>
      </c>
      <c r="M28" s="31">
        <f>ROUND($D65*M$7/SQRT(M$7*($D65+$E65+$D$22*(1+$C$26/$C$25))+$C$26*$D$21*$D$21*(1+$C$26/$C$25)),1)</f>
        <v>16.8</v>
      </c>
      <c r="N28" s="31">
        <f>ROUND($D65*N$7/SQRT(N$7*($D65+$E65+$D$22*(1+$C$26/$C$25))+$C$26*$D$21*$D$21*(1+$C$26/$C$25)),1)</f>
        <v>26.7</v>
      </c>
      <c r="O28" s="31">
        <f>ROUND($D65*O$7/SQRT(O$7*($D65+$E65+$D$22*(1+$C$26/$C$25))+$C$26*$D$21*$D$21*(1+$C$26/$C$25)),1)</f>
        <v>37.7</v>
      </c>
      <c r="P28" s="32">
        <f>ROUND($D65*P$7/SQRT(P$7*($D65+$E65+$D$22*(1+$C$26/$C$25))+$C$26*$D$21*$D$21*(1+$C$26/$C$25)),1)</f>
        <v>53.4</v>
      </c>
    </row>
    <row r="29" spans="2:16" ht="15">
      <c r="B29" t="s">
        <v>26</v>
      </c>
      <c r="C29" s="15">
        <f>ROUND(3600*180/PI()*D23/C11/1000,3)</f>
        <v>0.553</v>
      </c>
      <c r="D29" t="s">
        <v>25</v>
      </c>
      <c r="H29" s="26">
        <f>B66</f>
        <v>20.5</v>
      </c>
      <c r="I29" s="30">
        <f>ROUND($D66*I$7/SQRT(I$7*($D66+$E66+$D$22*(1+$C$26/$C$25))+$C$26*$D$21*$D$21*(1+$C$26/$C$25)),1)</f>
        <v>0</v>
      </c>
      <c r="J29" s="31">
        <f>ROUND($D66*J$7/SQRT(J$7*($D66+$E66+$D$22*(1+$C$26/$C$25))+$C$26*$D$21*$D$21*(1+$C$26/$C$25)),1)</f>
        <v>0.4</v>
      </c>
      <c r="K29" s="31">
        <f>ROUND($D66*K$7/SQRT(K$7*($D66+$E66+$D$22*(1+$C$26/$C$25))+$C$26*$D$21*$D$21*(1+$C$26/$C$25)),1)</f>
        <v>1.2</v>
      </c>
      <c r="L29" s="31">
        <f>ROUND($D66*L$7/SQRT(L$7*($D66+$E66+$D$22*(1+$C$26/$C$25))+$C$26*$D$21*$D$21*(1+$C$26/$C$25)),1)</f>
        <v>3</v>
      </c>
      <c r="M29" s="31">
        <f>ROUND($D66*M$7/SQRT(M$7*($D66+$E66+$D$22*(1+$C$26/$C$25))+$C$26*$D$21*$D$21*(1+$C$26/$C$25)),1)</f>
        <v>10.7</v>
      </c>
      <c r="N29" s="31">
        <f>ROUND($D66*N$7/SQRT(N$7*($D66+$E66+$D$22*(1+$C$26/$C$25))+$C$26*$D$21*$D$21*(1+$C$26/$C$25)),1)</f>
        <v>17</v>
      </c>
      <c r="O29" s="31">
        <f>ROUND($D66*O$7/SQRT(O$7*($D66+$E66+$D$22*(1+$C$26/$C$25))+$C$26*$D$21*$D$21*(1+$C$26/$C$25)),1)</f>
        <v>24</v>
      </c>
      <c r="P29" s="32">
        <f>ROUND($D66*P$7/SQRT(P$7*($D66+$E66+$D$22*(1+$C$26/$C$25))+$C$26*$D$21*$D$21*(1+$C$26/$C$25)),1)</f>
        <v>34</v>
      </c>
    </row>
    <row r="30" spans="2:16" ht="15">
      <c r="B30" s="12" t="s">
        <v>27</v>
      </c>
      <c r="C30" s="15">
        <f>ROUND(C29*C29,3)</f>
        <v>0.306</v>
      </c>
      <c r="D30" s="13" t="s">
        <v>28</v>
      </c>
      <c r="H30" s="26">
        <f>B67</f>
        <v>21</v>
      </c>
      <c r="I30" s="30">
        <f>ROUND($D67*I$7/SQRT(I$7*($D67+$E67+$D$22*(1+$C$26/$C$25))+$C$26*$D$21*$D$21*(1+$C$26/$C$25)),1)</f>
        <v>0</v>
      </c>
      <c r="J30" s="31">
        <f>ROUND($D67*J$7/SQRT(J$7*($D67+$E67+$D$22*(1+$C$26/$C$25))+$C$26*$D$21*$D$21*(1+$C$26/$C$25)),1)</f>
        <v>0.2</v>
      </c>
      <c r="K30" s="31">
        <f>ROUND($D67*K$7/SQRT(K$7*($D67+$E67+$D$22*(1+$C$26/$C$25))+$C$26*$D$21*$D$21*(1+$C$26/$C$25)),1)</f>
        <v>0.8</v>
      </c>
      <c r="L30" s="31">
        <f>ROUND($D67*L$7/SQRT(L$7*($D67+$E67+$D$22*(1+$C$26/$C$25))+$C$26*$D$21*$D$21*(1+$C$26/$C$25)),1)</f>
        <v>1.9</v>
      </c>
      <c r="M30" s="31">
        <f>ROUND($D67*M$7/SQRT(M$7*($D67+$E67+$D$22*(1+$C$26/$C$25))+$C$26*$D$21*$D$21*(1+$C$26/$C$25)),1)</f>
        <v>6.8</v>
      </c>
      <c r="N30" s="31">
        <f>ROUND($D67*N$7/SQRT(N$7*($D67+$E67+$D$22*(1+$C$26/$C$25))+$C$26*$D$21*$D$21*(1+$C$26/$C$25)),1)</f>
        <v>10.8</v>
      </c>
      <c r="O30" s="31">
        <f>ROUND($D67*O$7/SQRT(O$7*($D67+$E67+$D$22*(1+$C$26/$C$25))+$C$26*$D$21*$D$21*(1+$C$26/$C$25)),1)</f>
        <v>15.3</v>
      </c>
      <c r="P30" s="32">
        <f>ROUND($D67*P$7/SQRT(P$7*($D67+$E67+$D$22*(1+$C$26/$C$25))+$C$26*$D$21*$D$21*(1+$C$26/$C$25)),1)</f>
        <v>21.6</v>
      </c>
    </row>
    <row r="31" spans="2:16" ht="15">
      <c r="B31" s="12" t="s">
        <v>34</v>
      </c>
      <c r="C31" s="15">
        <f>ROUND(C29/2/C27,4)</f>
        <v>0.187</v>
      </c>
      <c r="H31" s="26">
        <f>B68</f>
        <v>21.5</v>
      </c>
      <c r="I31" s="30">
        <f>ROUND($D68*I$7/SQRT(I$7*($D68+$E68+$D$22*(1+$C$26/$C$25))+$C$26*$D$21*$D$21*(1+$C$26/$C$25)),1)</f>
        <v>0</v>
      </c>
      <c r="J31" s="31">
        <f>ROUND($D68*J$7/SQRT(J$7*($D68+$E68+$D$22*(1+$C$26/$C$25))+$C$26*$D$21*$D$21*(1+$C$26/$C$25)),1)</f>
        <v>0.1</v>
      </c>
      <c r="K31" s="31">
        <f>ROUND($D68*K$7/SQRT(K$7*($D68+$E68+$D$22*(1+$C$26/$C$25))+$C$26*$D$21*$D$21*(1+$C$26/$C$25)),1)</f>
        <v>0.5</v>
      </c>
      <c r="L31" s="31">
        <f>ROUND($D68*L$7/SQRT(L$7*($D68+$E68+$D$22*(1+$C$26/$C$25))+$C$26*$D$21*$D$21*(1+$C$26/$C$25)),1)</f>
        <v>1.2</v>
      </c>
      <c r="M31" s="31">
        <f>ROUND($D68*M$7/SQRT(M$7*($D68+$E68+$D$22*(1+$C$26/$C$25))+$C$26*$D$21*$D$21*(1+$C$26/$C$25)),1)</f>
        <v>4.3</v>
      </c>
      <c r="N31" s="31">
        <f>ROUND($D68*N$7/SQRT(N$7*($D68+$E68+$D$22*(1+$C$26/$C$25))+$C$26*$D$21*$D$21*(1+$C$26/$C$25)),1)</f>
        <v>6.8</v>
      </c>
      <c r="O31" s="31">
        <f>ROUND($D68*O$7/SQRT(O$7*($D68+$E68+$D$22*(1+$C$26/$C$25))+$C$26*$D$21*$D$21*(1+$C$26/$C$25)),1)</f>
        <v>9.7</v>
      </c>
      <c r="P31" s="32">
        <f>ROUND($D68*P$7/SQRT(P$7*($D68+$E68+$D$22*(1+$C$26/$C$25))+$C$26*$D$21*$D$21*(1+$C$26/$C$25)),1)</f>
        <v>13.7</v>
      </c>
    </row>
    <row r="32" spans="2:16" ht="15">
      <c r="B32" s="56" t="s">
        <v>61</v>
      </c>
      <c r="C32" s="57">
        <f>ROUND((MIN(((((0.074175*C31-0.228244)*C31-0.177181)*C31+1.173424)*C31),1))^2,4)</f>
        <v>0.0449</v>
      </c>
      <c r="D32" s="58"/>
      <c r="H32" s="26">
        <f>B69</f>
        <v>22</v>
      </c>
      <c r="I32" s="30">
        <f>ROUND($D69*I$7/SQRT(I$7*($D69+$E69+$D$22*(1+$C$26/$C$25))+$C$26*$D$21*$D$21*(1+$C$26/$C$25)),1)</f>
        <v>0</v>
      </c>
      <c r="J32" s="31">
        <f>ROUND($D69*J$7/SQRT(J$7*($D69+$E69+$D$22*(1+$C$26/$C$25))+$C$26*$D$21*$D$21*(1+$C$26/$C$25)),1)</f>
        <v>0.1</v>
      </c>
      <c r="K32" s="31">
        <f>ROUND($D69*K$7/SQRT(K$7*($D69+$E69+$D$22*(1+$C$26/$C$25))+$C$26*$D$21*$D$21*(1+$C$26/$C$25)),1)</f>
        <v>0.3</v>
      </c>
      <c r="L32" s="31">
        <f>ROUND($D69*L$7/SQRT(L$7*($D69+$E69+$D$22*(1+$C$26/$C$25))+$C$26*$D$21*$D$21*(1+$C$26/$C$25)),1)</f>
        <v>0.8</v>
      </c>
      <c r="M32" s="31">
        <f>ROUND($D69*M$7/SQRT(M$7*($D69+$E69+$D$22*(1+$C$26/$C$25))+$C$26*$D$21*$D$21*(1+$C$26/$C$25)),1)</f>
        <v>2.7</v>
      </c>
      <c r="N32" s="31">
        <f>ROUND($D69*N$7/SQRT(N$7*($D69+$E69+$D$22*(1+$C$26/$C$25))+$C$26*$D$21*$D$21*(1+$C$26/$C$25)),1)</f>
        <v>4.3</v>
      </c>
      <c r="O32" s="31">
        <f>ROUND($D69*O$7/SQRT(O$7*($D69+$E69+$D$22*(1+$C$26/$C$25))+$C$26*$D$21*$D$21*(1+$C$26/$C$25)),1)</f>
        <v>6.1</v>
      </c>
      <c r="P32" s="32">
        <f>ROUND($D69*P$7/SQRT(P$7*($D69+$E69+$D$22*(1+$C$26/$C$25))+$C$26*$D$21*$D$21*(1+$C$26/$C$25)),1)</f>
        <v>8.7</v>
      </c>
    </row>
    <row r="33" spans="2:16" ht="15.75" thickBot="1">
      <c r="B33" s="12"/>
      <c r="C33" s="15"/>
      <c r="H33" s="26">
        <f>B70</f>
        <v>22.5</v>
      </c>
      <c r="I33" s="30">
        <f>ROUND($D70*I$7/SQRT(I$7*($D70+$E70+$D$22*(1+$C$26/$C$25))+$C$26*$D$21*$D$21*(1+$C$26/$C$25)),1)</f>
        <v>0</v>
      </c>
      <c r="J33" s="31">
        <f>ROUND($D70*J$7/SQRT(J$7*($D70+$E70+$D$22*(1+$C$26/$C$25))+$C$26*$D$21*$D$21*(1+$C$26/$C$25)),1)</f>
        <v>0.1</v>
      </c>
      <c r="K33" s="31">
        <f>ROUND($D70*K$7/SQRT(K$7*($D70+$E70+$D$22*(1+$C$26/$C$25))+$C$26*$D$21*$D$21*(1+$C$26/$C$25)),1)</f>
        <v>0.2</v>
      </c>
      <c r="L33" s="31">
        <f>ROUND($D70*L$7/SQRT(L$7*($D70+$E70+$D$22*(1+$C$26/$C$25))+$C$26*$D$21*$D$21*(1+$C$26/$C$25)),1)</f>
        <v>0.5</v>
      </c>
      <c r="M33" s="31">
        <f>ROUND($D70*M$7/SQRT(M$7*($D70+$E70+$D$22*(1+$C$26/$C$25))+$C$26*$D$21*$D$21*(1+$C$26/$C$25)),1)</f>
        <v>1.7</v>
      </c>
      <c r="N33" s="31">
        <f>ROUND($D70*N$7/SQRT(N$7*($D70+$E70+$D$22*(1+$C$26/$C$25))+$C$26*$D$21*$D$21*(1+$C$26/$C$25)),1)</f>
        <v>2.7</v>
      </c>
      <c r="O33" s="31">
        <f>ROUND($D70*O$7/SQRT(O$7*($D70+$E70+$D$22*(1+$C$26/$C$25))+$C$26*$D$21*$D$21*(1+$C$26/$C$25)),1)</f>
        <v>3.9</v>
      </c>
      <c r="P33" s="32">
        <f>ROUND($D70*P$7/SQRT(P$7*($D70+$E70+$D$22*(1+$C$26/$C$25))+$C$26*$D$21*$D$21*(1+$C$26/$C$25)),1)</f>
        <v>5.5</v>
      </c>
    </row>
    <row r="34" spans="2:16" ht="17.25">
      <c r="B34" s="14" t="s">
        <v>29</v>
      </c>
      <c r="C34" s="3"/>
      <c r="D34" s="4"/>
      <c r="H34" s="26">
        <f>B71</f>
        <v>23</v>
      </c>
      <c r="I34" s="30">
        <f>ROUND($D71*I$7/SQRT(I$7*($D71+$E71+$D$22*(1+$C$26/$C$25))+$C$26*$D$21*$D$21*(1+$C$26/$C$25)),1)</f>
        <v>0</v>
      </c>
      <c r="J34" s="31">
        <f>ROUND($D71*J$7/SQRT(J$7*($D71+$E71+$D$22*(1+$C$26/$C$25))+$C$26*$D$21*$D$21*(1+$C$26/$C$25)),1)</f>
        <v>0</v>
      </c>
      <c r="K34" s="31">
        <f>ROUND($D71*K$7/SQRT(K$7*($D71+$E71+$D$22*(1+$C$26/$C$25))+$C$26*$D$21*$D$21*(1+$C$26/$C$25)),1)</f>
        <v>0.1</v>
      </c>
      <c r="L34" s="31">
        <f>ROUND($D71*L$7/SQRT(L$7*($D71+$E71+$D$22*(1+$C$26/$C$25))+$C$26*$D$21*$D$21*(1+$C$26/$C$25)),1)</f>
        <v>0.3</v>
      </c>
      <c r="M34" s="31">
        <f>ROUND($D71*M$7/SQRT(M$7*($D71+$E71+$D$22*(1+$C$26/$C$25))+$C$26*$D$21*$D$21*(1+$C$26/$C$25)),1)</f>
        <v>1.1</v>
      </c>
      <c r="N34" s="31">
        <f>ROUND($D71*N$7/SQRT(N$7*($D71+$E71+$D$22*(1+$C$26/$C$25))+$C$26*$D$21*$D$21*(1+$C$26/$C$25)),1)</f>
        <v>1.7</v>
      </c>
      <c r="O34" s="31">
        <f>ROUND($D71*O$7/SQRT(O$7*($D71+$E71+$D$22*(1+$C$26/$C$25))+$C$26*$D$21*$D$21*(1+$C$26/$C$25)),1)</f>
        <v>2.4</v>
      </c>
      <c r="P34" s="32">
        <f>ROUND($D71*P$7/SQRT(P$7*($D71+$E71+$D$22*(1+$C$26/$C$25))+$C$26*$D$21*$D$21*(1+$C$26/$C$25)),1)</f>
        <v>3.5</v>
      </c>
    </row>
    <row r="35" spans="2:16" ht="15">
      <c r="B35" s="5" t="s">
        <v>30</v>
      </c>
      <c r="C35" s="6">
        <v>19</v>
      </c>
      <c r="D35" s="7" t="s">
        <v>31</v>
      </c>
      <c r="H35" s="26">
        <f>B72</f>
        <v>23.5</v>
      </c>
      <c r="I35" s="30">
        <f>ROUND($D72*I$7/SQRT(I$7*($D72+$E72+$D$22*(1+$C$26/$C$25))+$C$26*$D$21*$D$21*(1+$C$26/$C$25)),1)</f>
        <v>0</v>
      </c>
      <c r="J35" s="31">
        <f>ROUND($D72*J$7/SQRT(J$7*($D72+$E72+$D$22*(1+$C$26/$C$25))+$C$26*$D$21*$D$21*(1+$C$26/$C$25)),1)</f>
        <v>0</v>
      </c>
      <c r="K35" s="31">
        <f>ROUND($D72*K$7/SQRT(K$7*($D72+$E72+$D$22*(1+$C$26/$C$25))+$C$26*$D$21*$D$21*(1+$C$26/$C$25)),1)</f>
        <v>0.1</v>
      </c>
      <c r="L35" s="31">
        <f>ROUND($D72*L$7/SQRT(L$7*($D72+$E72+$D$22*(1+$C$26/$C$25))+$C$26*$D$21*$D$21*(1+$C$26/$C$25)),1)</f>
        <v>0.2</v>
      </c>
      <c r="M35" s="31">
        <f>ROUND($D72*M$7/SQRT(M$7*($D72+$E72+$D$22*(1+$C$26/$C$25))+$C$26*$D$21*$D$21*(1+$C$26/$C$25)),1)</f>
        <v>0.7</v>
      </c>
      <c r="N35" s="31">
        <f>ROUND($D72*N$7/SQRT(N$7*($D72+$E72+$D$22*(1+$C$26/$C$25))+$C$26*$D$21*$D$21*(1+$C$26/$C$25)),1)</f>
        <v>1.1</v>
      </c>
      <c r="O35" s="31">
        <f>ROUND($D72*O$7/SQRT(O$7*($D72+$E72+$D$22*(1+$C$26/$C$25))+$C$26*$D$21*$D$21*(1+$C$26/$C$25)),1)</f>
        <v>1.5</v>
      </c>
      <c r="P35" s="32">
        <f>ROUND($D72*P$7/SQRT(P$7*($D72+$E72+$D$22*(1+$C$26/$C$25))+$C$26*$D$21*$D$21*(1+$C$26/$C$25)),1)</f>
        <v>2.2</v>
      </c>
    </row>
    <row r="36" spans="2:16" ht="15">
      <c r="B36" s="5" t="s">
        <v>87</v>
      </c>
      <c r="C36" s="6">
        <v>2</v>
      </c>
      <c r="D36" s="7" t="s">
        <v>8</v>
      </c>
      <c r="H36" s="26">
        <f>B73</f>
        <v>24</v>
      </c>
      <c r="I36" s="30">
        <f>ROUND($D73*I$7/SQRT(I$7*($D73+$E73+$D$22*(1+$C$26/$C$25))+$C$26*$D$21*$D$21*(1+$C$26/$C$25)),1)</f>
        <v>0</v>
      </c>
      <c r="J36" s="31">
        <f>ROUND($D73*J$7/SQRT(J$7*($D73+$E73+$D$22*(1+$C$26/$C$25))+$C$26*$D$21*$D$21*(1+$C$26/$C$25)),1)</f>
        <v>0</v>
      </c>
      <c r="K36" s="31">
        <f>ROUND($D73*K$7/SQRT(K$7*($D73+$E73+$D$22*(1+$C$26/$C$25))+$C$26*$D$21*$D$21*(1+$C$26/$C$25)),1)</f>
        <v>0.1</v>
      </c>
      <c r="L36" s="31">
        <f>ROUND($D73*L$7/SQRT(L$7*($D73+$E73+$D$22*(1+$C$26/$C$25))+$C$26*$D$21*$D$21*(1+$C$26/$C$25)),1)</f>
        <v>0.1</v>
      </c>
      <c r="M36" s="31">
        <f>ROUND($D73*M$7/SQRT(M$7*($D73+$E73+$D$22*(1+$C$26/$C$25))+$C$26*$D$21*$D$21*(1+$C$26/$C$25)),1)</f>
        <v>0.4</v>
      </c>
      <c r="N36" s="31">
        <f>ROUND($D73*N$7/SQRT(N$7*($D73+$E73+$D$22*(1+$C$26/$C$25))+$C$26*$D$21*$D$21*(1+$C$26/$C$25)),1)</f>
        <v>0.7</v>
      </c>
      <c r="O36" s="31">
        <f>ROUND($D73*O$7/SQRT(O$7*($D73+$E73+$D$22*(1+$C$26/$C$25))+$C$26*$D$21*$D$21*(1+$C$26/$C$25)),1)</f>
        <v>1</v>
      </c>
      <c r="P36" s="32">
        <f>ROUND($D73*P$7/SQRT(P$7*($D73+$E73+$D$22*(1+$C$26/$C$25))+$C$26*$D$21*$D$21*(1+$C$26/$C$25)),1)</f>
        <v>1.4</v>
      </c>
    </row>
    <row r="37" spans="2:16" ht="15">
      <c r="B37" s="84" t="s">
        <v>33</v>
      </c>
      <c r="C37" s="68">
        <v>400</v>
      </c>
      <c r="D37" s="7" t="s">
        <v>35</v>
      </c>
      <c r="H37" s="26">
        <f>B74</f>
        <v>24.5</v>
      </c>
      <c r="I37" s="30">
        <f>ROUND($D74*I$7/SQRT(I$7*($D74+$E74+$D$22*(1+$C$26/$C$25))+$C$26*$D$21*$D$21*(1+$C$26/$C$25)),1)</f>
        <v>0</v>
      </c>
      <c r="J37" s="31">
        <f>ROUND($D74*J$7/SQRT(J$7*($D74+$E74+$D$22*(1+$C$26/$C$25))+$C$26*$D$21*$D$21*(1+$C$26/$C$25)),1)</f>
        <v>0</v>
      </c>
      <c r="K37" s="31">
        <f>ROUND($D74*K$7/SQRT(K$7*($D74+$E74+$D$22*(1+$C$26/$C$25))+$C$26*$D$21*$D$21*(1+$C$26/$C$25)),1)</f>
        <v>0</v>
      </c>
      <c r="L37" s="31">
        <f>ROUND($D74*L$7/SQRT(L$7*($D74+$E74+$D$22*(1+$C$26/$C$25))+$C$26*$D$21*$D$21*(1+$C$26/$C$25)),1)</f>
        <v>0.1</v>
      </c>
      <c r="M37" s="31">
        <f>ROUND($D74*M$7/SQRT(M$7*($D74+$E74+$D$22*(1+$C$26/$C$25))+$C$26*$D$21*$D$21*(1+$C$26/$C$25)),1)</f>
        <v>0.3</v>
      </c>
      <c r="N37" s="31">
        <f>ROUND($D74*N$7/SQRT(N$7*($D74+$E74+$D$22*(1+$C$26/$C$25))+$C$26*$D$21*$D$21*(1+$C$26/$C$25)),1)</f>
        <v>0.4</v>
      </c>
      <c r="O37" s="31">
        <f>ROUND($D74*O$7/SQRT(O$7*($D74+$E74+$D$22*(1+$C$26/$C$25))+$C$26*$D$21*$D$21*(1+$C$26/$C$25)),1)</f>
        <v>0.6</v>
      </c>
      <c r="P37" s="32">
        <f>ROUND($D74*P$7/SQRT(P$7*($D74+$E74+$D$22*(1+$C$26/$C$25))+$C$26*$D$21*$D$21*(1+$C$26/$C$25)),1)</f>
        <v>0.9</v>
      </c>
    </row>
    <row r="38" spans="2:16" ht="15.75" thickBot="1">
      <c r="B38" s="19" t="s">
        <v>86</v>
      </c>
      <c r="C38" s="20">
        <v>45</v>
      </c>
      <c r="D38" s="85" t="s">
        <v>88</v>
      </c>
      <c r="H38" s="48">
        <f>B75</f>
        <v>25</v>
      </c>
      <c r="I38" s="33">
        <f>ROUND($D75*I$7/SQRT(I$7*($D75+$E75+$D$22*(1+$C$26/$C$25))+$C$26*$D$21*$D$21*(1+$C$26/$C$25)),1)</f>
        <v>0</v>
      </c>
      <c r="J38" s="34">
        <f>ROUND($D75*J$7/SQRT(J$7*($D75+$E75+$D$22*(1+$C$26/$C$25))+$C$26*$D$21*$D$21*(1+$C$26/$C$25)),1)</f>
        <v>0</v>
      </c>
      <c r="K38" s="34">
        <f>ROUND($D75*K$7/SQRT(K$7*($D75+$E75+$D$22*(1+$C$26/$C$25))+$C$26*$D$21*$D$21*(1+$C$26/$C$25)),1)</f>
        <v>0</v>
      </c>
      <c r="L38" s="34">
        <f>ROUND($D75*L$7/SQRT(L$7*($D75+$E75+$D$22*(1+$C$26/$C$25))+$C$26*$D$21*$D$21*(1+$C$26/$C$25)),1)</f>
        <v>0</v>
      </c>
      <c r="M38" s="34">
        <f>ROUND($D75*M$7/SQRT(M$7*($D75+$E75+$D$22*(1+$C$26/$C$25))+$C$26*$D$21*$D$21*(1+$C$26/$C$25)),1)</f>
        <v>0.2</v>
      </c>
      <c r="N38" s="34">
        <f>ROUND($D75*N$7/SQRT(N$7*($D75+$E75+$D$22*(1+$C$26/$C$25))+$C$26*$D$21*$D$21*(1+$C$26/$C$25)),1)</f>
        <v>0.3</v>
      </c>
      <c r="O38" s="34">
        <f>ROUND($D75*O$7/SQRT(O$7*($D75+$E75+$D$22*(1+$C$26/$C$25))+$C$26*$D$21*$D$21*(1+$C$26/$C$25)),1)</f>
        <v>0.4</v>
      </c>
      <c r="P38" s="35">
        <f>ROUND($D75*P$7/SQRT(P$7*($D75+$E75+$D$22*(1+$C$26/$C$25))+$C$26*$D$21*$D$21*(1+$C$26/$C$25)),1)</f>
        <v>0.5</v>
      </c>
    </row>
    <row r="39" spans="2:7" ht="12.75">
      <c r="B39" s="86" t="s">
        <v>92</v>
      </c>
      <c r="C39" s="87">
        <f>C36/(COS(PI()/180*(90-C38))^(3/5))</f>
        <v>2.462288826689832</v>
      </c>
      <c r="D39" s="13" t="s">
        <v>8</v>
      </c>
      <c r="E39" s="88"/>
      <c r="F39" s="15"/>
      <c r="G39" s="15"/>
    </row>
    <row r="40" spans="2:4" ht="12.75">
      <c r="B40" s="54" t="s">
        <v>10</v>
      </c>
      <c r="C40" s="55">
        <f>MAX(ROUND(C39*C11*PI()/180/3600,4),C17)</f>
        <v>0.0298</v>
      </c>
      <c r="D40" s="54" t="s">
        <v>7</v>
      </c>
    </row>
    <row r="41" spans="2:3" ht="12.75">
      <c r="B41" t="s">
        <v>93</v>
      </c>
      <c r="C41">
        <f>1/COS(PI()/180*(90-C38))</f>
        <v>1.414213562373095</v>
      </c>
    </row>
    <row r="42" spans="2:3" ht="12.75">
      <c r="B42" t="s">
        <v>94</v>
      </c>
      <c r="C42">
        <f>C41-0.0018167*(C41-1)-0.002875*(C41-1)^2-0.0008083*(C41-1)^3</f>
        <v>1.4129103444656461</v>
      </c>
    </row>
    <row r="44" spans="2:5" ht="12.75">
      <c r="B44" s="47" t="s">
        <v>42</v>
      </c>
      <c r="C44" s="15" t="s">
        <v>50</v>
      </c>
      <c r="D44" s="15" t="s">
        <v>51</v>
      </c>
      <c r="E44" s="15" t="s">
        <v>52</v>
      </c>
    </row>
    <row r="45" spans="2:5" ht="12.75">
      <c r="B45" s="47">
        <v>10</v>
      </c>
      <c r="C45" s="15">
        <f>1/(10^(B45/2.5))</f>
        <v>0.0001</v>
      </c>
      <c r="D45" s="15">
        <f aca="true" t="shared" si="3" ref="D45:D75">C45*$C$16*C$32</f>
        <v>14661.711702063327</v>
      </c>
      <c r="E45">
        <f>C$16*C$30/(10^($C$35/2.5))*U$21/13</f>
        <v>25.099193172067075</v>
      </c>
    </row>
    <row r="46" spans="2:5" ht="12.75">
      <c r="B46" s="47">
        <f>B45+0.5</f>
        <v>10.5</v>
      </c>
      <c r="C46" s="15">
        <f aca="true" t="shared" si="4" ref="C46:C75">1/(10^(B46/2.5))</f>
        <v>6.309573444801928E-05</v>
      </c>
      <c r="D46" s="15">
        <f t="shared" si="3"/>
        <v>9250.914681068045</v>
      </c>
      <c r="E46">
        <f aca="true" t="shared" si="5" ref="E46:E75">C$16*C$30/(10^($C$35/2.5))*U$21/13</f>
        <v>25.099193172067075</v>
      </c>
    </row>
    <row r="47" spans="2:5" ht="12.75">
      <c r="B47" s="47">
        <f aca="true" t="shared" si="6" ref="B47:B75">B46+0.5</f>
        <v>11</v>
      </c>
      <c r="C47" s="15">
        <f t="shared" si="4"/>
        <v>3.9810717055349634E-05</v>
      </c>
      <c r="D47" s="15">
        <f t="shared" si="3"/>
        <v>5836.932561179518</v>
      </c>
      <c r="E47">
        <f t="shared" si="5"/>
        <v>25.099193172067075</v>
      </c>
    </row>
    <row r="48" spans="2:5" ht="12.75">
      <c r="B48" s="47">
        <f t="shared" si="6"/>
        <v>11.5</v>
      </c>
      <c r="C48" s="15">
        <f t="shared" si="4"/>
        <v>2.511886431509579E-05</v>
      </c>
      <c r="D48" s="15">
        <f t="shared" si="3"/>
        <v>3682.855468711809</v>
      </c>
      <c r="E48">
        <f t="shared" si="5"/>
        <v>25.099193172067075</v>
      </c>
    </row>
    <row r="49" spans="2:5" ht="12.75">
      <c r="B49" s="47">
        <f t="shared" si="6"/>
        <v>12</v>
      </c>
      <c r="C49" s="15">
        <f t="shared" si="4"/>
        <v>1.584893192461113E-05</v>
      </c>
      <c r="D49" s="15">
        <f t="shared" si="3"/>
        <v>2323.724706642761</v>
      </c>
      <c r="E49">
        <f t="shared" si="5"/>
        <v>25.099193172067075</v>
      </c>
    </row>
    <row r="50" spans="2:5" ht="12.75">
      <c r="B50" s="47">
        <f t="shared" si="6"/>
        <v>12.5</v>
      </c>
      <c r="C50" s="15">
        <f t="shared" si="4"/>
        <v>1E-05</v>
      </c>
      <c r="D50" s="15">
        <f t="shared" si="3"/>
        <v>1466.171170206333</v>
      </c>
      <c r="E50">
        <f t="shared" si="5"/>
        <v>25.099193172067075</v>
      </c>
    </row>
    <row r="51" spans="2:5" ht="12.75">
      <c r="B51" s="47">
        <f t="shared" si="6"/>
        <v>13</v>
      </c>
      <c r="C51" s="15">
        <f t="shared" si="4"/>
        <v>6.309573444801921E-06</v>
      </c>
      <c r="D51" s="15">
        <f t="shared" si="3"/>
        <v>925.0914681068034</v>
      </c>
      <c r="E51">
        <f t="shared" si="5"/>
        <v>25.099193172067075</v>
      </c>
    </row>
    <row r="52" spans="2:5" ht="12.75">
      <c r="B52" s="47">
        <f t="shared" si="6"/>
        <v>13.5</v>
      </c>
      <c r="C52" s="15">
        <f t="shared" si="4"/>
        <v>3.981071705534966E-06</v>
      </c>
      <c r="D52" s="15">
        <f t="shared" si="3"/>
        <v>583.6932561179522</v>
      </c>
      <c r="E52">
        <f t="shared" si="5"/>
        <v>25.099193172067075</v>
      </c>
    </row>
    <row r="53" spans="2:5" ht="12.75">
      <c r="B53" s="47">
        <f t="shared" si="6"/>
        <v>14</v>
      </c>
      <c r="C53" s="15">
        <f t="shared" si="4"/>
        <v>2.5118864315095806E-06</v>
      </c>
      <c r="D53" s="15">
        <f t="shared" si="3"/>
        <v>368.2855468711811</v>
      </c>
      <c r="E53">
        <f t="shared" si="5"/>
        <v>25.099193172067075</v>
      </c>
    </row>
    <row r="54" spans="2:5" ht="12.75">
      <c r="B54" s="47">
        <f t="shared" si="6"/>
        <v>14.5</v>
      </c>
      <c r="C54" s="15">
        <f t="shared" si="4"/>
        <v>1.5848931924611111E-06</v>
      </c>
      <c r="D54" s="15">
        <f t="shared" si="3"/>
        <v>232.37247066427577</v>
      </c>
      <c r="E54">
        <f t="shared" si="5"/>
        <v>25.099193172067075</v>
      </c>
    </row>
    <row r="55" spans="2:5" ht="12.75">
      <c r="B55" s="47">
        <f t="shared" si="6"/>
        <v>15</v>
      </c>
      <c r="C55" s="15">
        <f t="shared" si="4"/>
        <v>1E-06</v>
      </c>
      <c r="D55" s="15">
        <f t="shared" si="3"/>
        <v>146.6171170206333</v>
      </c>
      <c r="E55">
        <f t="shared" si="5"/>
        <v>25.099193172067075</v>
      </c>
    </row>
    <row r="56" spans="2:5" ht="12.75">
      <c r="B56" s="47">
        <f t="shared" si="6"/>
        <v>15.5</v>
      </c>
      <c r="C56" s="15">
        <f t="shared" si="4"/>
        <v>6.309573444801925E-07</v>
      </c>
      <c r="D56" s="15">
        <f t="shared" si="3"/>
        <v>92.5091468106804</v>
      </c>
      <c r="E56">
        <f t="shared" si="5"/>
        <v>25.099193172067075</v>
      </c>
    </row>
    <row r="57" spans="2:5" ht="12.75">
      <c r="B57" s="47">
        <f t="shared" si="6"/>
        <v>16</v>
      </c>
      <c r="C57" s="15">
        <f t="shared" si="4"/>
        <v>3.981071705534962E-07</v>
      </c>
      <c r="D57" s="15">
        <f t="shared" si="3"/>
        <v>58.36932561179516</v>
      </c>
      <c r="E57">
        <f t="shared" si="5"/>
        <v>25.099193172067075</v>
      </c>
    </row>
    <row r="58" spans="2:5" ht="12.75">
      <c r="B58" s="47">
        <f t="shared" si="6"/>
        <v>16.5</v>
      </c>
      <c r="C58" s="15">
        <f t="shared" si="4"/>
        <v>2.511886431509578E-07</v>
      </c>
      <c r="D58" s="15">
        <f t="shared" si="3"/>
        <v>36.82855468711808</v>
      </c>
      <c r="E58">
        <f t="shared" si="5"/>
        <v>25.099193172067075</v>
      </c>
    </row>
    <row r="59" spans="2:5" ht="12.75">
      <c r="B59" s="47">
        <f t="shared" si="6"/>
        <v>17</v>
      </c>
      <c r="C59" s="15">
        <f t="shared" si="4"/>
        <v>1.5848931924611122E-07</v>
      </c>
      <c r="D59" s="15">
        <f t="shared" si="3"/>
        <v>23.237247066427592</v>
      </c>
      <c r="E59">
        <f t="shared" si="5"/>
        <v>25.099193172067075</v>
      </c>
    </row>
    <row r="60" spans="2:5" ht="12.75">
      <c r="B60" s="47">
        <f t="shared" si="6"/>
        <v>17.5</v>
      </c>
      <c r="C60" s="15">
        <f t="shared" si="4"/>
        <v>1E-07</v>
      </c>
      <c r="D60" s="15">
        <f t="shared" si="3"/>
        <v>14.661711702063327</v>
      </c>
      <c r="E60">
        <f t="shared" si="5"/>
        <v>25.099193172067075</v>
      </c>
    </row>
    <row r="61" spans="2:5" ht="12.75">
      <c r="B61" s="47">
        <f t="shared" si="6"/>
        <v>18</v>
      </c>
      <c r="C61" s="15">
        <f t="shared" si="4"/>
        <v>6.309573444801918E-08</v>
      </c>
      <c r="D61" s="15">
        <f t="shared" si="3"/>
        <v>9.250914681068029</v>
      </c>
      <c r="E61">
        <f t="shared" si="5"/>
        <v>25.099193172067075</v>
      </c>
    </row>
    <row r="62" spans="2:5" ht="12.75">
      <c r="B62" s="47">
        <f t="shared" si="6"/>
        <v>18.5</v>
      </c>
      <c r="C62" s="15">
        <f t="shared" si="4"/>
        <v>3.981071705534957E-08</v>
      </c>
      <c r="D62" s="15">
        <f t="shared" si="3"/>
        <v>5.83693256117951</v>
      </c>
      <c r="E62">
        <f t="shared" si="5"/>
        <v>25.099193172067075</v>
      </c>
    </row>
    <row r="63" spans="2:5" ht="12.75">
      <c r="B63" s="47">
        <f t="shared" si="6"/>
        <v>19</v>
      </c>
      <c r="C63" s="15">
        <f t="shared" si="4"/>
        <v>2.511886431509575E-08</v>
      </c>
      <c r="D63" s="15">
        <f t="shared" si="3"/>
        <v>3.682855468711803</v>
      </c>
      <c r="E63">
        <f t="shared" si="5"/>
        <v>25.099193172067075</v>
      </c>
    </row>
    <row r="64" spans="2:5" ht="12.75">
      <c r="B64" s="47">
        <f t="shared" si="6"/>
        <v>19.5</v>
      </c>
      <c r="C64" s="15">
        <f t="shared" si="4"/>
        <v>1.5848931924611133E-08</v>
      </c>
      <c r="D64" s="15">
        <f t="shared" si="3"/>
        <v>2.323724706642761</v>
      </c>
      <c r="E64">
        <f t="shared" si="5"/>
        <v>25.099193172067075</v>
      </c>
    </row>
    <row r="65" spans="2:5" ht="12.75">
      <c r="B65" s="47">
        <f t="shared" si="6"/>
        <v>20</v>
      </c>
      <c r="C65" s="15">
        <f t="shared" si="4"/>
        <v>1E-08</v>
      </c>
      <c r="D65" s="15">
        <f t="shared" si="3"/>
        <v>1.4661711702063327</v>
      </c>
      <c r="E65">
        <f t="shared" si="5"/>
        <v>25.099193172067075</v>
      </c>
    </row>
    <row r="66" spans="2:5" ht="12.75">
      <c r="B66" s="47">
        <f t="shared" si="6"/>
        <v>20.5</v>
      </c>
      <c r="C66" s="15">
        <f t="shared" si="4"/>
        <v>6.309573444801933E-09</v>
      </c>
      <c r="D66" s="15">
        <f t="shared" si="3"/>
        <v>0.9250914681068053</v>
      </c>
      <c r="E66">
        <f t="shared" si="5"/>
        <v>25.099193172067075</v>
      </c>
    </row>
    <row r="67" spans="2:10" ht="12.75">
      <c r="B67" s="47">
        <f t="shared" si="6"/>
        <v>21</v>
      </c>
      <c r="C67" s="15">
        <f t="shared" si="4"/>
        <v>3.9810717055349665E-09</v>
      </c>
      <c r="D67" s="15">
        <f t="shared" si="3"/>
        <v>0.5836932561179523</v>
      </c>
      <c r="E67">
        <f t="shared" si="5"/>
        <v>25.099193172067075</v>
      </c>
      <c r="J67">
        <f>185.6/72.5</f>
        <v>2.56</v>
      </c>
    </row>
    <row r="68" spans="2:5" ht="12.75">
      <c r="B68" s="47">
        <f t="shared" si="6"/>
        <v>21.5</v>
      </c>
      <c r="C68" s="15">
        <f t="shared" si="4"/>
        <v>2.511886431509581E-09</v>
      </c>
      <c r="D68" s="15">
        <f t="shared" si="3"/>
        <v>0.3682855468711812</v>
      </c>
      <c r="E68">
        <f t="shared" si="5"/>
        <v>25.099193172067075</v>
      </c>
    </row>
    <row r="69" spans="2:5" ht="12.75">
      <c r="B69" s="47">
        <f t="shared" si="6"/>
        <v>22</v>
      </c>
      <c r="C69" s="15">
        <f t="shared" si="4"/>
        <v>1.584893192461106E-09</v>
      </c>
      <c r="D69" s="15">
        <f t="shared" si="3"/>
        <v>0.23237247066427502</v>
      </c>
      <c r="E69">
        <f t="shared" si="5"/>
        <v>25.099193172067075</v>
      </c>
    </row>
    <row r="70" spans="2:5" ht="12.75">
      <c r="B70" s="47">
        <f t="shared" si="6"/>
        <v>22.5</v>
      </c>
      <c r="C70" s="15">
        <f t="shared" si="4"/>
        <v>1E-09</v>
      </c>
      <c r="D70" s="15">
        <f t="shared" si="3"/>
        <v>0.1466171170206333</v>
      </c>
      <c r="E70">
        <f t="shared" si="5"/>
        <v>25.099193172067075</v>
      </c>
    </row>
    <row r="71" spans="2:5" ht="12.75">
      <c r="B71" s="47">
        <f t="shared" si="6"/>
        <v>23</v>
      </c>
      <c r="C71" s="15">
        <f t="shared" si="4"/>
        <v>6.309573444801927E-10</v>
      </c>
      <c r="D71" s="15">
        <f t="shared" si="3"/>
        <v>0.09250914681068043</v>
      </c>
      <c r="E71">
        <f t="shared" si="5"/>
        <v>25.099193172067075</v>
      </c>
    </row>
    <row r="72" spans="2:5" ht="12.75">
      <c r="B72" s="47">
        <f t="shared" si="6"/>
        <v>23.5</v>
      </c>
      <c r="C72" s="15">
        <f t="shared" si="4"/>
        <v>3.981071705534962E-10</v>
      </c>
      <c r="D72" s="15">
        <f t="shared" si="3"/>
        <v>0.05836932561179517</v>
      </c>
      <c r="E72">
        <f t="shared" si="5"/>
        <v>25.099193172067075</v>
      </c>
    </row>
    <row r="73" spans="2:5" ht="12.75">
      <c r="B73" s="47">
        <f t="shared" si="6"/>
        <v>24</v>
      </c>
      <c r="C73" s="15">
        <f t="shared" si="4"/>
        <v>2.5118864315095784E-10</v>
      </c>
      <c r="D73" s="15">
        <f t="shared" si="3"/>
        <v>0.03682855468711808</v>
      </c>
      <c r="E73">
        <f t="shared" si="5"/>
        <v>25.099193172067075</v>
      </c>
    </row>
    <row r="74" spans="2:5" ht="12.75">
      <c r="B74" s="47">
        <f>B73+0.5</f>
        <v>24.5</v>
      </c>
      <c r="C74" s="15">
        <f t="shared" si="4"/>
        <v>1.5848931924611098E-10</v>
      </c>
      <c r="D74" s="15">
        <f t="shared" si="3"/>
        <v>0.02323724706642756</v>
      </c>
      <c r="E74">
        <f t="shared" si="5"/>
        <v>25.099193172067075</v>
      </c>
    </row>
    <row r="75" spans="2:5" ht="12.75">
      <c r="B75" s="47">
        <f t="shared" si="6"/>
        <v>25</v>
      </c>
      <c r="C75" s="15">
        <f t="shared" si="4"/>
        <v>1E-10</v>
      </c>
      <c r="D75" s="15">
        <f t="shared" si="3"/>
        <v>0.014661711702063328</v>
      </c>
      <c r="E75">
        <f t="shared" si="5"/>
        <v>25.099193172067075</v>
      </c>
    </row>
  </sheetData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1"/>
  <sheetViews>
    <sheetView zoomScalePageLayoutView="0" workbookViewId="0" topLeftCell="A1">
      <selection activeCell="C19" sqref="C19"/>
    </sheetView>
  </sheetViews>
  <sheetFormatPr defaultColWidth="11.421875" defaultRowHeight="12.75"/>
  <sheetData>
    <row r="1" spans="1:3" ht="12.75">
      <c r="A1" t="s">
        <v>63</v>
      </c>
      <c r="C1" t="s">
        <v>64</v>
      </c>
    </row>
    <row r="2" spans="1:4" ht="12.75">
      <c r="A2">
        <v>3750</v>
      </c>
      <c r="B2">
        <f>A2/10000</f>
        <v>0.375</v>
      </c>
      <c r="C2">
        <v>0.4</v>
      </c>
      <c r="D2">
        <f>-64.32*B2^4+172*B2^3-172.2*B2^2+74.8*B2-11.23</f>
        <v>0.40273437499999787</v>
      </c>
    </row>
    <row r="3" spans="1:4" ht="12.75">
      <c r="A3">
        <v>4000</v>
      </c>
      <c r="B3">
        <f aca="true" t="shared" si="0" ref="B3:B21">A3/10000</f>
        <v>0.4</v>
      </c>
      <c r="C3">
        <v>0.5</v>
      </c>
      <c r="D3">
        <f aca="true" t="shared" si="1" ref="D3:D21">-64.32*B3^4+172*B3^3-172.2*B3^2+74.8*B3-11.23</f>
        <v>0.49940799999999896</v>
      </c>
    </row>
    <row r="4" spans="1:4" ht="12.75">
      <c r="A4">
        <f>A3+250</f>
        <v>4250</v>
      </c>
      <c r="B4">
        <f t="shared" si="0"/>
        <v>0.425</v>
      </c>
      <c r="C4">
        <v>0.6</v>
      </c>
      <c r="D4">
        <f t="shared" si="1"/>
        <v>0.5615973750000052</v>
      </c>
    </row>
    <row r="5" spans="1:4" ht="12.75">
      <c r="A5">
        <f aca="true" t="shared" si="2" ref="A5:A21">A4+250</f>
        <v>4500</v>
      </c>
      <c r="B5">
        <f t="shared" si="0"/>
        <v>0.45</v>
      </c>
      <c r="C5">
        <v>0.6</v>
      </c>
      <c r="D5">
        <f t="shared" si="1"/>
        <v>0.5954779999999964</v>
      </c>
    </row>
    <row r="6" spans="1:4" ht="12.75">
      <c r="A6">
        <f t="shared" si="2"/>
        <v>4750</v>
      </c>
      <c r="B6">
        <f t="shared" si="0"/>
        <v>0.475</v>
      </c>
      <c r="C6">
        <v>0.62</v>
      </c>
      <c r="D6">
        <f t="shared" si="1"/>
        <v>0.606622374999997</v>
      </c>
    </row>
    <row r="7" spans="1:4" ht="12.75">
      <c r="A7">
        <f t="shared" si="2"/>
        <v>5000</v>
      </c>
      <c r="B7">
        <f t="shared" si="0"/>
        <v>0.5</v>
      </c>
      <c r="C7">
        <v>0.6</v>
      </c>
      <c r="D7">
        <f t="shared" si="1"/>
        <v>0.6000000000000014</v>
      </c>
    </row>
    <row r="8" spans="1:4" ht="12.75">
      <c r="A8">
        <f t="shared" si="2"/>
        <v>5250</v>
      </c>
      <c r="B8">
        <f t="shared" si="0"/>
        <v>0.525</v>
      </c>
      <c r="C8">
        <v>0.58</v>
      </c>
      <c r="D8">
        <f t="shared" si="1"/>
        <v>0.5799773750000128</v>
      </c>
    </row>
    <row r="9" spans="1:4" ht="12.75">
      <c r="A9">
        <f t="shared" si="2"/>
        <v>5500</v>
      </c>
      <c r="B9">
        <f t="shared" si="0"/>
        <v>0.55</v>
      </c>
      <c r="C9">
        <v>0.55</v>
      </c>
      <c r="D9">
        <f t="shared" si="1"/>
        <v>0.5503180000000008</v>
      </c>
    </row>
    <row r="10" spans="1:4" ht="12.75">
      <c r="A10">
        <f t="shared" si="2"/>
        <v>5750</v>
      </c>
      <c r="B10">
        <f t="shared" si="0"/>
        <v>0.575</v>
      </c>
      <c r="C10">
        <v>0.52</v>
      </c>
      <c r="D10">
        <f t="shared" si="1"/>
        <v>0.5141823750000043</v>
      </c>
    </row>
    <row r="11" spans="1:4" ht="12.75">
      <c r="A11">
        <f t="shared" si="2"/>
        <v>6000</v>
      </c>
      <c r="B11">
        <f t="shared" si="0"/>
        <v>0.6</v>
      </c>
      <c r="C11">
        <v>0.48</v>
      </c>
      <c r="D11">
        <f t="shared" si="1"/>
        <v>0.474128000000011</v>
      </c>
    </row>
    <row r="12" spans="1:4" ht="12.75">
      <c r="A12">
        <f t="shared" si="2"/>
        <v>6250</v>
      </c>
      <c r="B12">
        <f t="shared" si="0"/>
        <v>0.625</v>
      </c>
      <c r="C12">
        <v>0.47</v>
      </c>
      <c r="D12">
        <f t="shared" si="1"/>
        <v>0.4321093749999996</v>
      </c>
    </row>
    <row r="13" spans="1:4" ht="12.75">
      <c r="A13">
        <f t="shared" si="2"/>
        <v>6500</v>
      </c>
      <c r="B13">
        <f t="shared" si="0"/>
        <v>0.65</v>
      </c>
      <c r="C13">
        <v>0.41</v>
      </c>
      <c r="D13">
        <f t="shared" si="1"/>
        <v>0.38947799999999333</v>
      </c>
    </row>
    <row r="14" spans="1:4" ht="12.75">
      <c r="A14">
        <f t="shared" si="2"/>
        <v>6750</v>
      </c>
      <c r="B14">
        <f t="shared" si="0"/>
        <v>0.675</v>
      </c>
      <c r="C14">
        <v>0.38</v>
      </c>
      <c r="D14">
        <f t="shared" si="1"/>
        <v>0.3469823750000067</v>
      </c>
    </row>
    <row r="15" spans="1:4" ht="12.75">
      <c r="A15">
        <f t="shared" si="2"/>
        <v>7000</v>
      </c>
      <c r="B15">
        <f t="shared" si="0"/>
        <v>0.7</v>
      </c>
      <c r="C15">
        <v>0.32</v>
      </c>
      <c r="D15">
        <f t="shared" si="1"/>
        <v>0.30476799999999926</v>
      </c>
    </row>
    <row r="16" spans="1:4" ht="12.75">
      <c r="A16">
        <f t="shared" si="2"/>
        <v>7250</v>
      </c>
      <c r="B16">
        <f t="shared" si="0"/>
        <v>0.725</v>
      </c>
      <c r="C16">
        <v>0.28</v>
      </c>
      <c r="D16">
        <f t="shared" si="1"/>
        <v>0.26237737499998914</v>
      </c>
    </row>
    <row r="17" spans="1:4" ht="12.75">
      <c r="A17">
        <f t="shared" si="2"/>
        <v>7500</v>
      </c>
      <c r="B17">
        <f t="shared" si="0"/>
        <v>0.75</v>
      </c>
      <c r="C17">
        <v>0.22</v>
      </c>
      <c r="D17">
        <f t="shared" si="1"/>
        <v>0.21875000000000355</v>
      </c>
    </row>
    <row r="18" spans="1:4" ht="12.75">
      <c r="A18">
        <f t="shared" si="2"/>
        <v>7750</v>
      </c>
      <c r="B18">
        <f t="shared" si="0"/>
        <v>0.775</v>
      </c>
      <c r="C18">
        <v>0.18</v>
      </c>
      <c r="D18">
        <f t="shared" si="1"/>
        <v>0.17222237499999338</v>
      </c>
    </row>
    <row r="19" spans="1:4" ht="12.75">
      <c r="A19">
        <f t="shared" si="2"/>
        <v>8000</v>
      </c>
      <c r="B19">
        <f t="shared" si="0"/>
        <v>0.8</v>
      </c>
      <c r="C19">
        <v>0.16</v>
      </c>
      <c r="D19">
        <f t="shared" si="1"/>
        <v>0.12052800000000374</v>
      </c>
    </row>
    <row r="20" spans="1:4" ht="12.75">
      <c r="A20">
        <f t="shared" si="2"/>
        <v>8250</v>
      </c>
      <c r="B20">
        <f t="shared" si="0"/>
        <v>0.825</v>
      </c>
      <c r="D20">
        <f t="shared" si="1"/>
        <v>0.0607973750000248</v>
      </c>
    </row>
    <row r="21" spans="1:4" ht="12.75">
      <c r="A21">
        <f t="shared" si="2"/>
        <v>8500</v>
      </c>
      <c r="B21">
        <f t="shared" si="0"/>
        <v>0.85</v>
      </c>
      <c r="D21">
        <f t="shared" si="1"/>
        <v>-0.010441999999979856</v>
      </c>
    </row>
  </sheetData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2:G11"/>
  <sheetViews>
    <sheetView zoomScalePageLayoutView="0" workbookViewId="0" topLeftCell="A1">
      <selection activeCell="K23" sqref="K23"/>
    </sheetView>
  </sheetViews>
  <sheetFormatPr defaultColWidth="11.421875" defaultRowHeight="12.75"/>
  <cols>
    <col min="7" max="7" width="21.421875" style="0" customWidth="1"/>
  </cols>
  <sheetData>
    <row r="2" spans="3:7" ht="15">
      <c r="C2" s="82" t="s">
        <v>84</v>
      </c>
      <c r="D2" s="82"/>
      <c r="E2" s="82"/>
      <c r="F2" s="82"/>
      <c r="G2" s="82"/>
    </row>
    <row r="3" spans="3:7" ht="15">
      <c r="C3" s="82"/>
      <c r="D3" s="53" t="s">
        <v>83</v>
      </c>
      <c r="E3" s="53" t="s">
        <v>82</v>
      </c>
      <c r="F3" s="53" t="s">
        <v>81</v>
      </c>
      <c r="G3" s="53" t="s">
        <v>85</v>
      </c>
    </row>
    <row r="4" spans="3:7" ht="15">
      <c r="C4" s="82"/>
      <c r="D4" s="83" t="s">
        <v>68</v>
      </c>
      <c r="E4" s="83">
        <v>0.36</v>
      </c>
      <c r="F4" s="83">
        <v>21.6</v>
      </c>
      <c r="G4" s="83" t="s">
        <v>76</v>
      </c>
    </row>
    <row r="5" spans="3:7" ht="15">
      <c r="C5" s="82"/>
      <c r="D5" s="83" t="s">
        <v>69</v>
      </c>
      <c r="E5" s="83">
        <v>0.44</v>
      </c>
      <c r="F5" s="83">
        <v>22.3</v>
      </c>
      <c r="G5" s="83" t="s">
        <v>77</v>
      </c>
    </row>
    <row r="6" spans="3:7" ht="15">
      <c r="C6" s="82"/>
      <c r="D6" s="83" t="s">
        <v>70</v>
      </c>
      <c r="E6" s="83">
        <v>0.55</v>
      </c>
      <c r="F6" s="83">
        <v>21.1</v>
      </c>
      <c r="G6" s="83" t="s">
        <v>78</v>
      </c>
    </row>
    <row r="7" spans="3:7" ht="15">
      <c r="C7" s="82"/>
      <c r="D7" s="83" t="s">
        <v>71</v>
      </c>
      <c r="E7" s="83">
        <v>0.64</v>
      </c>
      <c r="F7" s="83">
        <v>20.3</v>
      </c>
      <c r="G7" s="83" t="s">
        <v>79</v>
      </c>
    </row>
    <row r="8" spans="3:7" ht="15">
      <c r="C8" s="82"/>
      <c r="D8" s="83" t="s">
        <v>72</v>
      </c>
      <c r="E8" s="83">
        <v>0.79</v>
      </c>
      <c r="F8" s="83">
        <v>19.2</v>
      </c>
      <c r="G8" s="83" t="s">
        <v>80</v>
      </c>
    </row>
    <row r="9" spans="3:7" ht="15">
      <c r="C9" s="82"/>
      <c r="D9" s="83" t="s">
        <v>73</v>
      </c>
      <c r="E9" s="83">
        <v>1.23</v>
      </c>
      <c r="F9" s="83">
        <v>14.8</v>
      </c>
      <c r="G9" s="83">
        <v>2.49</v>
      </c>
    </row>
    <row r="10" spans="3:7" ht="15">
      <c r="C10" s="82"/>
      <c r="D10" s="83" t="s">
        <v>74</v>
      </c>
      <c r="E10" s="83">
        <v>1.66</v>
      </c>
      <c r="F10" s="83">
        <v>13.4</v>
      </c>
      <c r="G10" s="83">
        <v>4.2</v>
      </c>
    </row>
    <row r="11" spans="3:7" ht="15">
      <c r="C11" s="82"/>
      <c r="D11" s="83" t="s">
        <v>75</v>
      </c>
      <c r="E11" s="83">
        <v>2.22</v>
      </c>
      <c r="F11" s="83">
        <v>12.6</v>
      </c>
      <c r="G11" s="83">
        <v>3.98</v>
      </c>
    </row>
  </sheetData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</dc:creator>
  <cp:keywords/>
  <dc:description/>
  <cp:lastModifiedBy>Jean</cp:lastModifiedBy>
  <dcterms:created xsi:type="dcterms:W3CDTF">2009-11-13T08:55:36Z</dcterms:created>
  <dcterms:modified xsi:type="dcterms:W3CDTF">2021-12-08T09:00:43Z</dcterms:modified>
  <cp:category/>
  <cp:version/>
  <cp:contentType/>
  <cp:contentStatus/>
</cp:coreProperties>
</file>